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tabRatio="649"/>
  </bookViews>
  <sheets>
    <sheet name="Calculadora U.A." sheetId="1" r:id="rId1"/>
    <sheet name="Consumo M.S." sheetId="2" r:id="rId2"/>
    <sheet name="NABOS" sheetId="3" r:id="rId3"/>
    <sheet name="COLES" sheetId="5" r:id="rId4"/>
    <sheet name="Disp. Praderas y Concentrados" sheetId="6" r:id="rId5"/>
    <sheet name="Compra de Forrajes" sheetId="7" r:id="rId6"/>
    <sheet name="Balance Resumen" sheetId="8" r:id="rId7"/>
  </sheets>
  <calcPr calcId="145621"/>
</workbook>
</file>

<file path=xl/calcChain.xml><?xml version="1.0" encoding="utf-8"?>
<calcChain xmlns="http://schemas.openxmlformats.org/spreadsheetml/2006/main">
  <c r="E20" i="7" l="1"/>
  <c r="E18" i="7"/>
  <c r="E19" i="7"/>
  <c r="E17" i="7"/>
  <c r="D20" i="7"/>
  <c r="D19" i="7"/>
  <c r="I55" i="8"/>
  <c r="H55" i="8"/>
  <c r="G55" i="8"/>
  <c r="I54" i="8"/>
  <c r="H54" i="8"/>
  <c r="G54" i="8"/>
  <c r="I15" i="1" l="1"/>
  <c r="I8" i="1"/>
  <c r="I9" i="1"/>
  <c r="I14" i="1"/>
  <c r="G71" i="8"/>
  <c r="G78" i="8"/>
  <c r="G75" i="8"/>
  <c r="E10" i="6"/>
  <c r="E9" i="6"/>
  <c r="D52" i="8" s="1"/>
  <c r="F52" i="8" s="1"/>
  <c r="F49" i="8"/>
  <c r="F50" i="8"/>
  <c r="F48" i="8"/>
  <c r="J49" i="8"/>
  <c r="I49" i="8"/>
  <c r="H49" i="8"/>
  <c r="G49" i="8"/>
  <c r="D53" i="8"/>
  <c r="F53" i="8" s="1"/>
  <c r="D51" i="8"/>
  <c r="D50" i="8"/>
  <c r="D49" i="8"/>
  <c r="D48" i="8"/>
  <c r="J20" i="8"/>
  <c r="I20" i="8"/>
  <c r="H20" i="8"/>
  <c r="G20" i="8"/>
  <c r="J19" i="8"/>
  <c r="I19" i="8"/>
  <c r="H19" i="8"/>
  <c r="G19" i="8"/>
  <c r="J18" i="8"/>
  <c r="I18" i="8"/>
  <c r="H18" i="8"/>
  <c r="G18" i="8"/>
  <c r="D13" i="8"/>
  <c r="G17" i="8"/>
  <c r="H17" i="8"/>
  <c r="I17" i="8"/>
  <c r="J17" i="8"/>
  <c r="G16" i="8"/>
  <c r="H16" i="8"/>
  <c r="I16" i="8"/>
  <c r="J16" i="8"/>
  <c r="G15" i="8"/>
  <c r="H15" i="8"/>
  <c r="I15" i="8"/>
  <c r="J15" i="8"/>
  <c r="J14" i="8"/>
  <c r="D14" i="8" s="1"/>
  <c r="I14" i="8"/>
  <c r="H14" i="8"/>
  <c r="G14" i="8"/>
  <c r="G13" i="8"/>
  <c r="H13" i="8"/>
  <c r="I13" i="8"/>
  <c r="J13" i="8"/>
  <c r="J12" i="8"/>
  <c r="I12" i="8"/>
  <c r="H12" i="8"/>
  <c r="G12" i="8"/>
  <c r="G11" i="1"/>
  <c r="I11" i="1" s="1"/>
  <c r="I12" i="1"/>
  <c r="I13" i="1"/>
  <c r="G14" i="1"/>
  <c r="G10" i="1"/>
  <c r="I10" i="1" s="1"/>
  <c r="G8" i="1"/>
  <c r="G7" i="1"/>
  <c r="D12" i="8" l="1"/>
  <c r="J55" i="8"/>
  <c r="J54" i="8"/>
  <c r="I7" i="1"/>
  <c r="B19" i="6"/>
  <c r="D16" i="8"/>
  <c r="D15" i="8"/>
  <c r="D17" i="8"/>
  <c r="D20" i="8"/>
  <c r="D19" i="8"/>
  <c r="D18" i="8"/>
  <c r="D14" i="2"/>
  <c r="D15" i="2"/>
  <c r="D16" i="2"/>
  <c r="D17" i="2"/>
  <c r="B21" i="7" l="1"/>
  <c r="L19" i="7" l="1"/>
  <c r="C49" i="8"/>
  <c r="C50" i="8"/>
  <c r="C51" i="8"/>
  <c r="C52" i="8"/>
  <c r="C53" i="8"/>
  <c r="C48" i="8"/>
  <c r="E13" i="8"/>
  <c r="E14" i="8"/>
  <c r="E15" i="8"/>
  <c r="E16" i="8"/>
  <c r="E17" i="8"/>
  <c r="E18" i="8"/>
  <c r="E19" i="8"/>
  <c r="E20" i="8"/>
  <c r="F17" i="8"/>
  <c r="E12" i="8"/>
  <c r="E53" i="8" l="1"/>
  <c r="H53" i="8" s="1"/>
  <c r="E52" i="8"/>
  <c r="E51" i="8"/>
  <c r="F51" i="8" s="1"/>
  <c r="E50" i="8"/>
  <c r="E49" i="8"/>
  <c r="E48" i="8"/>
  <c r="G48" i="8" s="1"/>
  <c r="P31" i="8"/>
  <c r="M24" i="8"/>
  <c r="D36" i="8"/>
  <c r="D26" i="8"/>
  <c r="P57" i="8"/>
  <c r="J19" i="7"/>
  <c r="J18" i="7"/>
  <c r="J16" i="7"/>
  <c r="J15" i="7"/>
  <c r="J14" i="7"/>
  <c r="B13" i="6"/>
  <c r="E11" i="6"/>
  <c r="G21" i="6"/>
  <c r="G20" i="6"/>
  <c r="C54" i="8" s="1"/>
  <c r="F54" i="8" s="1"/>
  <c r="L23" i="6"/>
  <c r="L22" i="6"/>
  <c r="L21" i="6"/>
  <c r="L20" i="6"/>
  <c r="L19" i="6"/>
  <c r="G6" i="6"/>
  <c r="G7" i="6"/>
  <c r="G8" i="6"/>
  <c r="G5" i="6"/>
  <c r="F10" i="6"/>
  <c r="F9" i="6"/>
  <c r="F20" i="5"/>
  <c r="G17" i="5"/>
  <c r="H17" i="5" s="1"/>
  <c r="D17" i="5"/>
  <c r="D16" i="5"/>
  <c r="G15" i="5"/>
  <c r="H15" i="5" s="1"/>
  <c r="D15" i="5"/>
  <c r="G14" i="5"/>
  <c r="H14" i="5" s="1"/>
  <c r="D14" i="5"/>
  <c r="G13" i="5"/>
  <c r="H13" i="5" s="1"/>
  <c r="D13" i="5"/>
  <c r="G12" i="5"/>
  <c r="H12" i="5" s="1"/>
  <c r="D12" i="5"/>
  <c r="D11" i="5"/>
  <c r="G10" i="5"/>
  <c r="H10" i="5" s="1"/>
  <c r="D10" i="5"/>
  <c r="D9" i="5"/>
  <c r="F7" i="5"/>
  <c r="K4" i="5"/>
  <c r="K3" i="5"/>
  <c r="K2" i="5"/>
  <c r="C55" i="8" l="1"/>
  <c r="F55" i="8" s="1"/>
  <c r="G22" i="6"/>
  <c r="E6" i="7" s="1"/>
  <c r="D56" i="8"/>
  <c r="G50" i="8"/>
  <c r="J52" i="8"/>
  <c r="T57" i="8"/>
  <c r="S57" i="8"/>
  <c r="R57" i="8"/>
  <c r="Q57" i="8"/>
  <c r="I51" i="8"/>
  <c r="H51" i="8"/>
  <c r="G51" i="8"/>
  <c r="J51" i="8"/>
  <c r="D34" i="8"/>
  <c r="H48" i="8"/>
  <c r="P49" i="8"/>
  <c r="P58" i="8"/>
  <c r="D30" i="8"/>
  <c r="D32" i="8"/>
  <c r="D40" i="8"/>
  <c r="P46" i="8"/>
  <c r="I48" i="8"/>
  <c r="P56" i="8"/>
  <c r="P59" i="8"/>
  <c r="D28" i="8"/>
  <c r="D38" i="8"/>
  <c r="P47" i="8"/>
  <c r="J48" i="8"/>
  <c r="D24" i="8"/>
  <c r="P48" i="8"/>
  <c r="P55" i="8"/>
  <c r="G10" i="6"/>
  <c r="G9" i="6"/>
  <c r="F20" i="3"/>
  <c r="G10" i="3"/>
  <c r="H10" i="3" s="1"/>
  <c r="G12" i="3"/>
  <c r="H12" i="3" s="1"/>
  <c r="G14" i="3"/>
  <c r="H14" i="3" s="1"/>
  <c r="G15" i="3"/>
  <c r="H15" i="3" s="1"/>
  <c r="G17" i="3"/>
  <c r="H17" i="3" s="1"/>
  <c r="D10" i="3"/>
  <c r="D11" i="3"/>
  <c r="D12" i="3"/>
  <c r="D13" i="3"/>
  <c r="G13" i="3" s="1"/>
  <c r="H13" i="3" s="1"/>
  <c r="D14" i="3"/>
  <c r="D15" i="3"/>
  <c r="D16" i="3"/>
  <c r="D17" i="3"/>
  <c r="D9" i="3"/>
  <c r="O4" i="3"/>
  <c r="O3" i="3"/>
  <c r="O2" i="3"/>
  <c r="F7" i="3"/>
  <c r="E14" i="2"/>
  <c r="D10" i="2"/>
  <c r="D11" i="2"/>
  <c r="G11" i="2" s="1"/>
  <c r="D12" i="2"/>
  <c r="D13" i="2"/>
  <c r="D9" i="2"/>
  <c r="C10" i="2"/>
  <c r="E10" i="3" s="1"/>
  <c r="C11" i="2"/>
  <c r="C12" i="2"/>
  <c r="C13" i="2"/>
  <c r="C14" i="2"/>
  <c r="C15" i="2"/>
  <c r="G15" i="2" s="1"/>
  <c r="C16" i="2"/>
  <c r="C17" i="2"/>
  <c r="C9" i="2"/>
  <c r="G11" i="6" l="1"/>
  <c r="E5" i="7" s="1"/>
  <c r="E7" i="7" s="1"/>
  <c r="G56" i="8"/>
  <c r="G61" i="8" s="1"/>
  <c r="E17" i="3"/>
  <c r="G17" i="2"/>
  <c r="E13" i="5"/>
  <c r="G13" i="2"/>
  <c r="E9" i="5"/>
  <c r="G9" i="2"/>
  <c r="H9" i="2" s="1"/>
  <c r="E16" i="5"/>
  <c r="G16" i="2"/>
  <c r="E12" i="5"/>
  <c r="G12" i="2"/>
  <c r="H12" i="2" s="1"/>
  <c r="H14" i="2"/>
  <c r="G14" i="2"/>
  <c r="E14" i="5"/>
  <c r="E10" i="5"/>
  <c r="G10" i="2"/>
  <c r="E14" i="3"/>
  <c r="E17" i="5"/>
  <c r="E16" i="3"/>
  <c r="H15" i="2"/>
  <c r="E15" i="5"/>
  <c r="E15" i="3"/>
  <c r="E13" i="3"/>
  <c r="E12" i="3"/>
  <c r="E11" i="5"/>
  <c r="E11" i="3"/>
  <c r="E9" i="3"/>
  <c r="J50" i="8"/>
  <c r="J56" i="8" s="1"/>
  <c r="J61" i="8" s="1"/>
  <c r="H50" i="8"/>
  <c r="H56" i="8" s="1"/>
  <c r="H61" i="8" s="1"/>
  <c r="I50" i="8"/>
  <c r="T55" i="8"/>
  <c r="S55" i="8"/>
  <c r="R55" i="8"/>
  <c r="Q55" i="8"/>
  <c r="R59" i="8"/>
  <c r="Q59" i="8"/>
  <c r="T59" i="8"/>
  <c r="S59" i="8"/>
  <c r="R46" i="8"/>
  <c r="Q46" i="8"/>
  <c r="T46" i="8"/>
  <c r="S46" i="8"/>
  <c r="S49" i="8"/>
  <c r="R49" i="8"/>
  <c r="Q49" i="8"/>
  <c r="T49" i="8"/>
  <c r="R56" i="8"/>
  <c r="Q56" i="8"/>
  <c r="T56" i="8"/>
  <c r="S56" i="8"/>
  <c r="S58" i="8"/>
  <c r="R58" i="8"/>
  <c r="Q58" i="8"/>
  <c r="T58" i="8"/>
  <c r="T48" i="8"/>
  <c r="S48" i="8"/>
  <c r="R48" i="8"/>
  <c r="Q48" i="8"/>
  <c r="Q47" i="8"/>
  <c r="T47" i="8"/>
  <c r="S47" i="8"/>
  <c r="R47" i="8"/>
  <c r="B15" i="6"/>
  <c r="B24" i="6" l="1"/>
  <c r="I56" i="8"/>
  <c r="I61" i="8" s="1"/>
  <c r="E34" i="8"/>
  <c r="C14" i="3"/>
  <c r="C14" i="5"/>
  <c r="E40" i="8"/>
  <c r="C17" i="5"/>
  <c r="C17" i="3"/>
  <c r="F20" i="8"/>
  <c r="E17" i="2"/>
  <c r="H17" i="2"/>
  <c r="F19" i="8"/>
  <c r="E16" i="2"/>
  <c r="H16" i="2"/>
  <c r="E38" i="8"/>
  <c r="C16" i="3"/>
  <c r="G16" i="3" s="1"/>
  <c r="H16" i="3" s="1"/>
  <c r="C16" i="5"/>
  <c r="G16" i="5" s="1"/>
  <c r="H16" i="5" s="1"/>
  <c r="F18" i="8"/>
  <c r="E15" i="2"/>
  <c r="E36" i="8"/>
  <c r="C15" i="3"/>
  <c r="C15" i="5"/>
  <c r="E32" i="8"/>
  <c r="C13" i="5"/>
  <c r="C13" i="3"/>
  <c r="F16" i="8"/>
  <c r="E13" i="2"/>
  <c r="H13" i="2"/>
  <c r="E30" i="8"/>
  <c r="C12" i="3"/>
  <c r="C12" i="5"/>
  <c r="F15" i="8"/>
  <c r="E12" i="2"/>
  <c r="E28" i="8"/>
  <c r="C11" i="5"/>
  <c r="G11" i="5" s="1"/>
  <c r="H11" i="5" s="1"/>
  <c r="C11" i="3"/>
  <c r="G11" i="3" s="1"/>
  <c r="H11" i="3" s="1"/>
  <c r="F14" i="8"/>
  <c r="E11" i="2"/>
  <c r="H11" i="2"/>
  <c r="F13" i="8"/>
  <c r="E10" i="2"/>
  <c r="H10" i="2"/>
  <c r="E26" i="8"/>
  <c r="C10" i="3"/>
  <c r="C10" i="5"/>
  <c r="F12" i="8"/>
  <c r="E9" i="2"/>
  <c r="E24" i="8"/>
  <c r="C9" i="5"/>
  <c r="G9" i="5" s="1"/>
  <c r="C9" i="3"/>
  <c r="G9" i="3" s="1"/>
  <c r="I16" i="1"/>
  <c r="J57" i="8" l="1"/>
  <c r="F85" i="8"/>
  <c r="F86" i="8" s="1"/>
  <c r="H34" i="8"/>
  <c r="J34" i="8"/>
  <c r="I34" i="8"/>
  <c r="F34" i="8"/>
  <c r="G34" i="8"/>
  <c r="J40" i="8"/>
  <c r="H40" i="8"/>
  <c r="G40" i="8"/>
  <c r="I40" i="8"/>
  <c r="F40" i="8"/>
  <c r="G38" i="8"/>
  <c r="J38" i="8"/>
  <c r="F38" i="8"/>
  <c r="I38" i="8"/>
  <c r="H38" i="8"/>
  <c r="F36" i="8"/>
  <c r="G36" i="8"/>
  <c r="J36" i="8"/>
  <c r="I36" i="8"/>
  <c r="H36" i="8"/>
  <c r="J32" i="8"/>
  <c r="I32" i="8"/>
  <c r="G32" i="8"/>
  <c r="H32" i="8"/>
  <c r="F32" i="8"/>
  <c r="J30" i="8"/>
  <c r="I30" i="8"/>
  <c r="G30" i="8"/>
  <c r="F30" i="8"/>
  <c r="H30" i="8"/>
  <c r="H18" i="2"/>
  <c r="B20" i="2" s="1"/>
  <c r="I28" i="8"/>
  <c r="F28" i="8"/>
  <c r="H28" i="8"/>
  <c r="G28" i="8"/>
  <c r="J28" i="8"/>
  <c r="G26" i="8"/>
  <c r="F26" i="8"/>
  <c r="I26" i="8"/>
  <c r="H26" i="8"/>
  <c r="J26" i="8"/>
  <c r="I24" i="8"/>
  <c r="J24" i="8"/>
  <c r="G24" i="8"/>
  <c r="H24" i="8"/>
  <c r="F24" i="8"/>
  <c r="H9" i="3"/>
  <c r="H18" i="3" s="1"/>
  <c r="B20" i="3" s="1"/>
  <c r="G18" i="3"/>
  <c r="H9" i="5"/>
  <c r="H18" i="5" s="1"/>
  <c r="B20" i="5" s="1"/>
  <c r="G18" i="5"/>
  <c r="J42" i="8" l="1"/>
  <c r="J60" i="8" s="1"/>
  <c r="J62" i="8" s="1"/>
  <c r="E10" i="7"/>
  <c r="E12" i="7" s="1"/>
  <c r="H42" i="8"/>
  <c r="H60" i="8" s="1"/>
  <c r="H62" i="8" s="1"/>
  <c r="H64" i="8" s="1"/>
  <c r="G42" i="8"/>
  <c r="I42" i="8"/>
  <c r="I60" i="8" s="1"/>
  <c r="I62" i="8" s="1"/>
  <c r="B14" i="7" l="1"/>
  <c r="L17" i="7"/>
  <c r="J83" i="8" s="1"/>
  <c r="L15" i="7"/>
  <c r="J79" i="8" s="1"/>
  <c r="L14" i="7"/>
  <c r="J76" i="8" s="1"/>
  <c r="J43" i="8"/>
  <c r="G60" i="8"/>
  <c r="G62" i="8" s="1"/>
  <c r="J69" i="8" s="1"/>
  <c r="H63" i="8"/>
  <c r="J64" i="8"/>
  <c r="J63" i="8"/>
  <c r="J71" i="8"/>
  <c r="J72" i="8" s="1"/>
  <c r="I63" i="8"/>
  <c r="I67" i="8" s="1"/>
  <c r="I68" i="8" s="1"/>
  <c r="I64" i="8"/>
  <c r="F78" i="8" l="1"/>
  <c r="F75" i="8"/>
  <c r="L16" i="7"/>
  <c r="J82" i="8" s="1"/>
  <c r="J84" i="8" s="1"/>
  <c r="G64" i="8"/>
  <c r="G63" i="8"/>
  <c r="J65" i="8" s="1"/>
  <c r="H65" i="8" l="1"/>
  <c r="J66" i="8" s="1"/>
  <c r="J67" i="8" s="1"/>
  <c r="J68" i="8" s="1"/>
  <c r="G65" i="8"/>
  <c r="G66" i="8" s="1"/>
  <c r="G67" i="8" s="1"/>
  <c r="G68" i="8" s="1"/>
  <c r="J75" i="8"/>
  <c r="J77" i="8" s="1"/>
  <c r="M77" i="8" s="1"/>
  <c r="E87" i="8" s="1"/>
  <c r="H75" i="8"/>
  <c r="J78" i="8" s="1"/>
  <c r="J80" i="8" s="1"/>
  <c r="M80" i="8" s="1"/>
  <c r="H66" i="8" l="1"/>
  <c r="H67" i="8" s="1"/>
  <c r="H68" i="8" s="1"/>
</calcChain>
</file>

<file path=xl/sharedStrings.xml><?xml version="1.0" encoding="utf-8"?>
<sst xmlns="http://schemas.openxmlformats.org/spreadsheetml/2006/main" count="338" uniqueCount="205">
  <si>
    <t>CALCULADORA DE CARGA ANIMAL PREDIAL</t>
  </si>
  <si>
    <t>Unidad Animal (U.A.) = 500 kilogramos de Peso Vivo (P.V.)</t>
  </si>
  <si>
    <t>CATEGORÍA</t>
  </si>
  <si>
    <t>U.A.</t>
  </si>
  <si>
    <t>Vacas en Ordeña</t>
  </si>
  <si>
    <t>Vacas Secas</t>
  </si>
  <si>
    <t>Vaquillas Preñadas</t>
  </si>
  <si>
    <t>Vaquillas para Encaste</t>
  </si>
  <si>
    <t>Teneros (as)</t>
  </si>
  <si>
    <t>Novillos (2 años)</t>
  </si>
  <si>
    <t>Novillos (1 año)</t>
  </si>
  <si>
    <t>Toros</t>
  </si>
  <si>
    <t>Bueyes</t>
  </si>
  <si>
    <t>1) Ingrese la cantidad de animales para cada categoría</t>
  </si>
  <si>
    <t>2) Ingrese el peso promedio de la categoría en su predio</t>
  </si>
  <si>
    <t>CALCULO DE CONSUMO Y REQUERIMIENTO DE MATERIA SECA (M.S.)</t>
  </si>
  <si>
    <t>Cada animal consume entre un 2 y 3% de su P.V. en M.S. por día</t>
  </si>
  <si>
    <t>Consumo Diario (MS/Día) = 500 Kg de peso Vivo * 2.5% consumo diario = 12.5 Kg de M.S./día</t>
  </si>
  <si>
    <t>Nº DE CABEZAS</t>
  </si>
  <si>
    <t>P.V.</t>
  </si>
  <si>
    <t>CONSUMO DIARIO COMO % DEL P.V.</t>
  </si>
  <si>
    <t>CONSUMO DIARIO EN Kg. DE M.S. DIARIA</t>
  </si>
  <si>
    <t>CONSUMO ANUAL EN Kg. DE M.S.</t>
  </si>
  <si>
    <t>Sin Nabos</t>
  </si>
  <si>
    <t>1/3 de la Dieta</t>
  </si>
  <si>
    <t>1/2 de la Dieta</t>
  </si>
  <si>
    <t>2/3 de la dieta</t>
  </si>
  <si>
    <t>CULTIVOS SUPLEMENTARIOS</t>
  </si>
  <si>
    <t>NABOS</t>
  </si>
  <si>
    <t>Porcentaje de la Dieta</t>
  </si>
  <si>
    <t>CONSUMO DIARIO DE M.S. EN Kg.</t>
  </si>
  <si>
    <t>DÍAS DE PASTOREO</t>
  </si>
  <si>
    <t>15 Dic a 28 Feb</t>
  </si>
  <si>
    <t>Enero y Febrero</t>
  </si>
  <si>
    <t>Si</t>
  </si>
  <si>
    <t>No</t>
  </si>
  <si>
    <t>Kg. DE M.S. NECESARIAS</t>
  </si>
  <si>
    <t>EFICIENCIA DE UTILIZACIÓN EN  %</t>
  </si>
  <si>
    <t>COLES</t>
  </si>
  <si>
    <t>Sin Coles</t>
  </si>
  <si>
    <t>Mayo a Agosto</t>
  </si>
  <si>
    <t>Abril a Agosto</t>
  </si>
  <si>
    <t>CALCULO DE DISPONIBILIDAD DE PRADERAS</t>
  </si>
  <si>
    <t>TIPO DE PRADERA</t>
  </si>
  <si>
    <t>DETALLE</t>
  </si>
  <si>
    <t>PRODUCCIÓN EN Kg. DE M.S. ANUAL</t>
  </si>
  <si>
    <t>HECTÁREAS</t>
  </si>
  <si>
    <t>EFICIENCIA DE UTILIZACIÓN EN %</t>
  </si>
  <si>
    <t>DISPONIBILIDAD EN Kg. DE M.S. ANUAL</t>
  </si>
  <si>
    <t>PRAD. ROTACIÓN C/ Fertilización</t>
  </si>
  <si>
    <t>PRAD. PERMANENTE C/Fertilización</t>
  </si>
  <si>
    <t>PRAD. MEJ</t>
  </si>
  <si>
    <t>PRAD. NAT</t>
  </si>
  <si>
    <t>NABOS FORRAJEROS</t>
  </si>
  <si>
    <t>COLES FORRAJERAS</t>
  </si>
  <si>
    <t>Anual-Bianual</t>
  </si>
  <si>
    <t>Perenne</t>
  </si>
  <si>
    <t>Fertilizada</t>
  </si>
  <si>
    <t>Sin Manejo</t>
  </si>
  <si>
    <t>Verano</t>
  </si>
  <si>
    <t>Invierno</t>
  </si>
  <si>
    <t>PRAD. MEJORADA</t>
  </si>
  <si>
    <t>PRAD. NATURAL</t>
  </si>
  <si>
    <t>USO DE CONCENTRADOS EN VACAS EN ORDEÑA</t>
  </si>
  <si>
    <t>Sin Concentrado</t>
  </si>
  <si>
    <t>1 Kg/Vaca/día</t>
  </si>
  <si>
    <t>1.5 Kg/Vaca/día</t>
  </si>
  <si>
    <t>2 Kg/Vaca/dia</t>
  </si>
  <si>
    <t>3 Kg/vaca/dia</t>
  </si>
  <si>
    <t>4 Kg/vaca/dia</t>
  </si>
  <si>
    <t>Concentrado</t>
  </si>
  <si>
    <t>Maiz Roleado</t>
  </si>
  <si>
    <t>Alimento</t>
  </si>
  <si>
    <t>Cantidad</t>
  </si>
  <si>
    <t>Sin Maiz</t>
  </si>
  <si>
    <t>1.5 Kg/Vaca/Día</t>
  </si>
  <si>
    <t>5 Kg/vaca/dia</t>
  </si>
  <si>
    <t>Duración de la Lactancia</t>
  </si>
  <si>
    <t>6 meses</t>
  </si>
  <si>
    <t>7 meses</t>
  </si>
  <si>
    <t>8 meses</t>
  </si>
  <si>
    <t>9 meses</t>
  </si>
  <si>
    <t>10 meses</t>
  </si>
  <si>
    <t>% de M.S.</t>
  </si>
  <si>
    <t>Kg. De M.S. Anual</t>
  </si>
  <si>
    <t>BALANCE ANUAL Y COMPRA DE FORRAJES</t>
  </si>
  <si>
    <t>DISPONIBILIDAD DE MATERIA SECA</t>
  </si>
  <si>
    <t>PRADERAS</t>
  </si>
  <si>
    <t>CONCENTRADOS</t>
  </si>
  <si>
    <t>DISPONIBILIDAD TOTAL</t>
  </si>
  <si>
    <t>REQUERIMIENTO DE MATERIA SECA</t>
  </si>
  <si>
    <t>CONSUMO ANUAL DE MATERIA SECA</t>
  </si>
  <si>
    <t>BALANCE FINAL</t>
  </si>
  <si>
    <t>FORRAJE A COMPRAR</t>
  </si>
  <si>
    <t>PORCENTAJE DE LA COMPRA</t>
  </si>
  <si>
    <t>CANTIDAD A COMPRAR</t>
  </si>
  <si>
    <t>SILO BOLO</t>
  </si>
  <si>
    <t>FARDOS</t>
  </si>
  <si>
    <t>CONCENTRADO</t>
  </si>
  <si>
    <t>MAIZ</t>
  </si>
  <si>
    <t>25% MS y 550 Kg</t>
  </si>
  <si>
    <t>30% MS y 515 Kg</t>
  </si>
  <si>
    <t>35% MS y 480 Kg</t>
  </si>
  <si>
    <t>85%MS y 25Kg</t>
  </si>
  <si>
    <t>85% MS y 30 Kg</t>
  </si>
  <si>
    <t>CARACTERÍSTICAS o KILOGRAMOS</t>
  </si>
  <si>
    <t>BALANCE FORRAJERO TEMPORADA 2016-2017</t>
  </si>
  <si>
    <t xml:space="preserve">             SAT PLAN REGIONAL LECHE - PROMAGRA LTDA.</t>
  </si>
  <si>
    <t>NOMBRE AGRICULTOR</t>
  </si>
  <si>
    <t>RUT</t>
  </si>
  <si>
    <t>PREDIO</t>
  </si>
  <si>
    <t>SECTOR</t>
  </si>
  <si>
    <t>PRIMER PASO</t>
  </si>
  <si>
    <t>CATEGORIA</t>
  </si>
  <si>
    <t>CANT.TOTAL</t>
  </si>
  <si>
    <t>PESO KG</t>
  </si>
  <si>
    <t>OTOÑO</t>
  </si>
  <si>
    <t xml:space="preserve">INVIERNO </t>
  </si>
  <si>
    <t>PRIMAV.</t>
  </si>
  <si>
    <t>VERANO</t>
  </si>
  <si>
    <t>Vacas Ordeña</t>
  </si>
  <si>
    <t>Producción/vaca/día</t>
  </si>
  <si>
    <t>Vaquillas Encaste</t>
  </si>
  <si>
    <t>Hasta 15 lts</t>
  </si>
  <si>
    <t>Terneros(as)</t>
  </si>
  <si>
    <t>Entre 15 y 20 lts</t>
  </si>
  <si>
    <t>Novillos 2 años</t>
  </si>
  <si>
    <t>Entre 20 y 25 lts</t>
  </si>
  <si>
    <t>Novillos 1 año</t>
  </si>
  <si>
    <t>Toro</t>
  </si>
  <si>
    <t>kg materia seac</t>
  </si>
  <si>
    <t>REQUERIMIENTOS EN KG DE MATERIA SECA</t>
  </si>
  <si>
    <t>hasta 15 lts peso por 2,5%</t>
  </si>
  <si>
    <t>ajustado vaca seca</t>
  </si>
  <si>
    <t>entre 15 a 20 lts ,peso * 2,5 % *1,2</t>
  </si>
  <si>
    <t>entre 20 y 25 lts,peso *2,5 % 1,4</t>
  </si>
  <si>
    <t>bueyes y caballo 1,4 u.a,</t>
  </si>
  <si>
    <t xml:space="preserve">vaquilla 0,6 ua </t>
  </si>
  <si>
    <t>vaquilla 0,3 u,a</t>
  </si>
  <si>
    <t>terneros 0,2</t>
  </si>
  <si>
    <t>TOTAL</t>
  </si>
  <si>
    <t>REQ. ANUAL MS (Kg/año)</t>
  </si>
  <si>
    <t>RECURSOS FORRAJEROS</t>
  </si>
  <si>
    <t>Otoño</t>
  </si>
  <si>
    <t>Primavera</t>
  </si>
  <si>
    <t>REND. KG M.S.</t>
  </si>
  <si>
    <t>TIPO PRADERA</t>
  </si>
  <si>
    <t>KG M.S.</t>
  </si>
  <si>
    <t>INVIERNO</t>
  </si>
  <si>
    <t>PRIMAVERA</t>
  </si>
  <si>
    <t>PRAD. ROTACIÓN C/ F</t>
  </si>
  <si>
    <t>PRAD. PERMANENTE C/F</t>
  </si>
  <si>
    <t>NABOS Sept-Oct</t>
  </si>
  <si>
    <t xml:space="preserve">COLES </t>
  </si>
  <si>
    <t>CONCENTRADO Ordeña</t>
  </si>
  <si>
    <t>MAIZ ROLEADO Ordeña</t>
  </si>
  <si>
    <t>TOTAL SUPER. AGROP.</t>
  </si>
  <si>
    <t>TOTAL / EST.</t>
  </si>
  <si>
    <t>DISP. ANUAL MS (Kg/Año)</t>
  </si>
  <si>
    <t>RESUMEN</t>
  </si>
  <si>
    <t>DISPONIBLE</t>
  </si>
  <si>
    <t>BALANCE</t>
  </si>
  <si>
    <t>DIS  - REQ.</t>
  </si>
  <si>
    <t>DEFICIT</t>
  </si>
  <si>
    <t>SUPERHABIT</t>
  </si>
  <si>
    <t>DIF PRIMAVERA CONSERVADO</t>
  </si>
  <si>
    <t>FALTA DISPONIB. DE FORRAJE</t>
  </si>
  <si>
    <t>COMPRA DE FARDOS</t>
  </si>
  <si>
    <t>Balance Final</t>
  </si>
  <si>
    <t>EXCEDENTE PRIMAV. (Kg M.S.)</t>
  </si>
  <si>
    <t>REZAGO DISPONIBLE (Has)</t>
  </si>
  <si>
    <t>Resumen:</t>
  </si>
  <si>
    <t>Ensilajes</t>
  </si>
  <si>
    <t>Elab. de Ensilaje</t>
  </si>
  <si>
    <t xml:space="preserve">Colosadas o </t>
  </si>
  <si>
    <t>Bolos</t>
  </si>
  <si>
    <t>Compra de Ensilaje</t>
  </si>
  <si>
    <t>Heno</t>
  </si>
  <si>
    <t>DATOS</t>
  </si>
  <si>
    <t>Elab. de Fardos</t>
  </si>
  <si>
    <t>Fardos</t>
  </si>
  <si>
    <t>1 COLOSADA ENSILAJE ( 2500 KG ) = 450 KG M.S</t>
  </si>
  <si>
    <t>Compra de Fardos</t>
  </si>
  <si>
    <t>1 HA 10 COLOSADAS ENSILAJE</t>
  </si>
  <si>
    <t>1 HA APORTA 4000 KG M.S. PARA ENSILAJE</t>
  </si>
  <si>
    <t>Concentrados</t>
  </si>
  <si>
    <t>CONSUMO DE 2,5 % M.S. SOBRE PESO VIVO</t>
  </si>
  <si>
    <t>Concentardo Vacas</t>
  </si>
  <si>
    <t>Sacos</t>
  </si>
  <si>
    <t>Concentrado Maiz</t>
  </si>
  <si>
    <t>U.A.:</t>
  </si>
  <si>
    <t>(U.A.=Unidad Animal=500 Kg Peso Vivo)</t>
  </si>
  <si>
    <t>C.A.:</t>
  </si>
  <si>
    <t>(U.A./has)</t>
  </si>
  <si>
    <t>REQUERIMIENTO</t>
  </si>
  <si>
    <t xml:space="preserve"> </t>
  </si>
  <si>
    <t>PRODUC. TOTAL Kg MS/Año</t>
  </si>
  <si>
    <t>SUPERFICIE Has</t>
  </si>
  <si>
    <t>% Eficiencia Utilización</t>
  </si>
  <si>
    <t>Destino del Rezago en %</t>
  </si>
  <si>
    <t>Silo</t>
  </si>
  <si>
    <t>Nota: Deje en blanco las categorías en que no hay animales en alguna estación.</t>
  </si>
  <si>
    <t xml:space="preserve">Total U.A. </t>
  </si>
  <si>
    <r>
      <t xml:space="preserve">Consumo/día </t>
    </r>
    <r>
      <rPr>
        <sz val="11"/>
        <color theme="1"/>
        <rFont val="Calibri"/>
        <family val="2"/>
        <scheme val="minor"/>
      </rPr>
      <t>por Categoría</t>
    </r>
  </si>
  <si>
    <r>
      <t xml:space="preserve">kg M.S </t>
    </r>
    <r>
      <rPr>
        <sz val="14"/>
        <rFont val="Calibri"/>
        <family val="2"/>
        <scheme val="minor"/>
      </rPr>
      <t>Consumo/día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</si>
</sst>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_ [$$-340A]* #,##0_ ;_ [$$-340A]* \-#,##0_ ;_ [$$-340A]* &quot;-&quot;_ ;_ @_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7">
    <xf numFmtId="0" fontId="0" fillId="0" borderId="0" xfId="0"/>
    <xf numFmtId="0" fontId="2" fillId="0" borderId="5" xfId="0" applyFont="1" applyBorder="1"/>
    <xf numFmtId="0" fontId="2" fillId="0" borderId="7" xfId="0" applyFont="1" applyBorder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8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2" fillId="0" borderId="37" xfId="0" applyFont="1" applyBorder="1"/>
    <xf numFmtId="0" fontId="11" fillId="0" borderId="1" xfId="0" applyFont="1" applyBorder="1"/>
    <xf numFmtId="166" fontId="0" fillId="0" borderId="0" xfId="0" applyNumberFormat="1"/>
    <xf numFmtId="0" fontId="10" fillId="0" borderId="5" xfId="0" applyFont="1" applyBorder="1"/>
    <xf numFmtId="0" fontId="11" fillId="0" borderId="5" xfId="0" applyFont="1" applyBorder="1"/>
    <xf numFmtId="0" fontId="10" fillId="0" borderId="5" xfId="0" applyFont="1" applyFill="1" applyBorder="1"/>
    <xf numFmtId="0" fontId="10" fillId="0" borderId="7" xfId="0" applyFont="1" applyFill="1" applyBorder="1"/>
    <xf numFmtId="0" fontId="11" fillId="0" borderId="8" xfId="0" applyFont="1" applyBorder="1"/>
    <xf numFmtId="0" fontId="10" fillId="0" borderId="18" xfId="0" applyFont="1" applyBorder="1"/>
    <xf numFmtId="0" fontId="11" fillId="0" borderId="19" xfId="0" applyFont="1" applyBorder="1"/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9" fontId="11" fillId="0" borderId="19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1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9" fontId="11" fillId="0" borderId="8" xfId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164" fontId="11" fillId="0" borderId="8" xfId="1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 applyBorder="1"/>
    <xf numFmtId="3" fontId="11" fillId="0" borderId="0" xfId="0" applyNumberFormat="1" applyFont="1" applyBorder="1" applyAlignment="1">
      <alignment horizontal="center" vertical="center"/>
    </xf>
    <xf numFmtId="9" fontId="11" fillId="0" borderId="0" xfId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3" fontId="0" fillId="0" borderId="6" xfId="0" applyNumberFormat="1" applyBorder="1"/>
    <xf numFmtId="3" fontId="0" fillId="0" borderId="17" xfId="0" applyNumberFormat="1" applyBorder="1"/>
    <xf numFmtId="3" fontId="4" fillId="2" borderId="12" xfId="0" applyNumberFormat="1" applyFont="1" applyFill="1" applyBorder="1"/>
    <xf numFmtId="0" fontId="0" fillId="0" borderId="5" xfId="0" applyBorder="1"/>
    <xf numFmtId="0" fontId="0" fillId="0" borderId="7" xfId="0" applyBorder="1"/>
    <xf numFmtId="0" fontId="0" fillId="0" borderId="18" xfId="0" applyBorder="1"/>
    <xf numFmtId="0" fontId="0" fillId="0" borderId="4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34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164" fontId="2" fillId="4" borderId="19" xfId="1" applyNumberFormat="1" applyFont="1" applyFill="1" applyBorder="1" applyAlignment="1" applyProtection="1">
      <alignment horizontal="center" vertical="center"/>
      <protection locked="0"/>
    </xf>
    <xf numFmtId="164" fontId="2" fillId="4" borderId="1" xfId="1" applyNumberFormat="1" applyFont="1" applyFill="1" applyBorder="1" applyAlignment="1" applyProtection="1">
      <alignment horizontal="center" vertical="center"/>
      <protection locked="0"/>
    </xf>
    <xf numFmtId="164" fontId="2" fillId="4" borderId="8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9" fontId="3" fillId="4" borderId="33" xfId="1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Protection="1">
      <protection locked="0"/>
    </xf>
    <xf numFmtId="0" fontId="11" fillId="4" borderId="8" xfId="0" applyFont="1" applyFill="1" applyBorder="1" applyProtection="1">
      <protection locked="0"/>
    </xf>
    <xf numFmtId="164" fontId="0" fillId="4" borderId="30" xfId="1" applyNumberFormat="1" applyFont="1" applyFill="1" applyBorder="1" applyAlignment="1" applyProtection="1">
      <alignment horizontal="center" vertical="center"/>
      <protection locked="0"/>
    </xf>
    <xf numFmtId="164" fontId="0" fillId="4" borderId="31" xfId="1" applyNumberFormat="1" applyFont="1" applyFill="1" applyBorder="1" applyAlignment="1" applyProtection="1">
      <alignment horizontal="center" vertical="center"/>
      <protection locked="0"/>
    </xf>
    <xf numFmtId="164" fontId="0" fillId="4" borderId="29" xfId="1" applyNumberFormat="1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167" fontId="0" fillId="0" borderId="0" xfId="1" applyNumberFormat="1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6" fontId="7" fillId="4" borderId="44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4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/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Protection="1"/>
    <xf numFmtId="0" fontId="2" fillId="0" borderId="7" xfId="0" applyFont="1" applyBorder="1" applyProtection="1"/>
    <xf numFmtId="0" fontId="16" fillId="0" borderId="23" xfId="0" applyFont="1" applyBorder="1" applyAlignment="1" applyProtection="1">
      <alignment horizontal="right" vertical="top"/>
    </xf>
    <xf numFmtId="0" fontId="16" fillId="0" borderId="24" xfId="0" applyFont="1" applyBorder="1" applyAlignment="1" applyProtection="1">
      <alignment horizontal="right" vertical="top"/>
    </xf>
    <xf numFmtId="0" fontId="2" fillId="0" borderId="11" xfId="0" applyFont="1" applyBorder="1" applyAlignment="1" applyProtection="1">
      <alignment horizontal="right" vertical="center"/>
    </xf>
    <xf numFmtId="166" fontId="4" fillId="0" borderId="12" xfId="0" applyNumberFormat="1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2" fillId="4" borderId="43" xfId="0" applyFont="1" applyFill="1" applyBorder="1" applyAlignment="1" applyProtection="1">
      <alignment horizontal="center"/>
      <protection locked="0"/>
    </xf>
    <xf numFmtId="0" fontId="2" fillId="4" borderId="41" xfId="0" applyFont="1" applyFill="1" applyBorder="1" applyAlignment="1" applyProtection="1">
      <alignment horizontal="center"/>
      <protection locked="0"/>
    </xf>
    <xf numFmtId="166" fontId="2" fillId="0" borderId="1" xfId="0" applyNumberFormat="1" applyFont="1" applyFill="1" applyBorder="1" applyAlignment="1" applyProtection="1">
      <alignment horizontal="center"/>
    </xf>
    <xf numFmtId="166" fontId="2" fillId="0" borderId="8" xfId="0" applyNumberFormat="1" applyFont="1" applyFill="1" applyBorder="1" applyAlignment="1" applyProtection="1">
      <alignment horizontal="center"/>
    </xf>
    <xf numFmtId="0" fontId="11" fillId="0" borderId="0" xfId="0" applyFont="1" applyProtection="1"/>
    <xf numFmtId="0" fontId="1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3" fillId="0" borderId="0" xfId="0" applyFont="1" applyProtection="1"/>
    <xf numFmtId="0" fontId="12" fillId="0" borderId="0" xfId="0" applyFont="1" applyProtection="1"/>
    <xf numFmtId="0" fontId="12" fillId="0" borderId="11" xfId="0" applyFont="1" applyBorder="1" applyProtection="1"/>
    <xf numFmtId="0" fontId="12" fillId="0" borderId="21" xfId="0" applyFont="1" applyBorder="1" applyProtection="1"/>
    <xf numFmtId="0" fontId="12" fillId="0" borderId="21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12" fillId="6" borderId="21" xfId="0" applyFont="1" applyFill="1" applyBorder="1" applyAlignment="1" applyProtection="1">
      <alignment horizontal="center"/>
    </xf>
    <xf numFmtId="0" fontId="12" fillId="7" borderId="21" xfId="0" applyFont="1" applyFill="1" applyBorder="1" applyAlignment="1" applyProtection="1">
      <alignment horizontal="center"/>
    </xf>
    <xf numFmtId="0" fontId="12" fillId="8" borderId="21" xfId="0" applyFont="1" applyFill="1" applyBorder="1" applyAlignment="1" applyProtection="1">
      <alignment horizontal="center"/>
    </xf>
    <xf numFmtId="0" fontId="12" fillId="9" borderId="12" xfId="0" applyFont="1" applyFill="1" applyBorder="1" applyAlignment="1" applyProtection="1">
      <alignment horizontal="center"/>
    </xf>
    <xf numFmtId="0" fontId="11" fillId="0" borderId="18" xfId="0" applyFont="1" applyBorder="1" applyProtection="1"/>
    <xf numFmtId="1" fontId="11" fillId="0" borderId="19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Alignment="1" applyProtection="1">
      <alignment horizontal="center"/>
    </xf>
    <xf numFmtId="2" fontId="11" fillId="0" borderId="19" xfId="0" applyNumberFormat="1" applyFont="1" applyBorder="1" applyAlignment="1" applyProtection="1">
      <alignment horizontal="center"/>
    </xf>
    <xf numFmtId="0" fontId="10" fillId="6" borderId="19" xfId="0" applyFont="1" applyFill="1" applyBorder="1" applyAlignment="1" applyProtection="1">
      <alignment horizontal="center"/>
    </xf>
    <xf numFmtId="0" fontId="10" fillId="7" borderId="19" xfId="0" applyFont="1" applyFill="1" applyBorder="1" applyAlignment="1" applyProtection="1">
      <alignment horizontal="center"/>
    </xf>
    <xf numFmtId="0" fontId="10" fillId="8" borderId="19" xfId="0" applyFont="1" applyFill="1" applyBorder="1" applyAlignment="1" applyProtection="1">
      <alignment horizontal="center"/>
    </xf>
    <xf numFmtId="0" fontId="10" fillId="9" borderId="20" xfId="0" applyFont="1" applyFill="1" applyBorder="1" applyAlignment="1" applyProtection="1">
      <alignment horizontal="center"/>
    </xf>
    <xf numFmtId="0" fontId="11" fillId="0" borderId="5" xfId="0" applyFont="1" applyBorder="1" applyProtection="1"/>
    <xf numFmtId="0" fontId="10" fillId="6" borderId="1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/>
    </xf>
    <xf numFmtId="1" fontId="12" fillId="0" borderId="1" xfId="0" applyNumberFormat="1" applyFont="1" applyBorder="1" applyProtection="1"/>
    <xf numFmtId="0" fontId="12" fillId="0" borderId="1" xfId="0" applyFont="1" applyBorder="1" applyProtection="1"/>
    <xf numFmtId="0" fontId="11" fillId="0" borderId="7" xfId="0" applyFont="1" applyBorder="1" applyProtection="1"/>
    <xf numFmtId="1" fontId="11" fillId="0" borderId="60" xfId="0" applyNumberFormat="1" applyFont="1" applyFill="1" applyBorder="1" applyAlignment="1" applyProtection="1">
      <alignment horizontal="center"/>
    </xf>
    <xf numFmtId="0" fontId="11" fillId="0" borderId="60" xfId="0" applyFont="1" applyFill="1" applyBorder="1" applyAlignment="1" applyProtection="1">
      <alignment horizontal="center"/>
    </xf>
    <xf numFmtId="2" fontId="11" fillId="0" borderId="60" xfId="0" applyNumberFormat="1" applyFont="1" applyBorder="1" applyAlignment="1" applyProtection="1">
      <alignment horizontal="center"/>
    </xf>
    <xf numFmtId="0" fontId="10" fillId="6" borderId="8" xfId="0" applyFont="1" applyFill="1" applyBorder="1" applyAlignment="1" applyProtection="1">
      <alignment horizontal="center"/>
    </xf>
    <xf numFmtId="0" fontId="10" fillId="7" borderId="8" xfId="0" applyFont="1" applyFill="1" applyBorder="1" applyAlignment="1" applyProtection="1">
      <alignment horizontal="center"/>
    </xf>
    <xf numFmtId="0" fontId="10" fillId="8" borderId="8" xfId="0" applyFont="1" applyFill="1" applyBorder="1" applyAlignment="1" applyProtection="1">
      <alignment horizontal="center"/>
    </xf>
    <xf numFmtId="0" fontId="10" fillId="9" borderId="17" xfId="0" applyFont="1" applyFill="1" applyBorder="1" applyAlignment="1" applyProtection="1">
      <alignment horizontal="center"/>
    </xf>
    <xf numFmtId="1" fontId="11" fillId="0" borderId="0" xfId="0" applyNumberFormat="1" applyFont="1" applyProtection="1"/>
    <xf numFmtId="1" fontId="12" fillId="0" borderId="1" xfId="0" applyNumberFormat="1" applyFont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/>
    </xf>
    <xf numFmtId="3" fontId="11" fillId="0" borderId="1" xfId="0" applyNumberFormat="1" applyFont="1" applyBorder="1" applyAlignment="1" applyProtection="1">
      <alignment horizontal="center"/>
    </xf>
    <xf numFmtId="3" fontId="10" fillId="6" borderId="1" xfId="0" applyNumberFormat="1" applyFont="1" applyFill="1" applyBorder="1" applyAlignment="1" applyProtection="1">
      <alignment horizontal="center"/>
    </xf>
    <xf numFmtId="3" fontId="10" fillId="7" borderId="1" xfId="0" applyNumberFormat="1" applyFont="1" applyFill="1" applyBorder="1" applyAlignment="1" applyProtection="1">
      <alignment horizontal="center"/>
    </xf>
    <xf numFmtId="3" fontId="10" fillId="8" borderId="1" xfId="0" applyNumberFormat="1" applyFont="1" applyFill="1" applyBorder="1" applyAlignment="1" applyProtection="1">
      <alignment horizontal="center"/>
    </xf>
    <xf numFmtId="3" fontId="10" fillId="9" borderId="6" xfId="0" applyNumberFormat="1" applyFont="1" applyFill="1" applyBorder="1" applyAlignment="1" applyProtection="1">
      <alignment horizontal="center"/>
    </xf>
    <xf numFmtId="0" fontId="12" fillId="0" borderId="5" xfId="0" applyFont="1" applyBorder="1" applyProtection="1"/>
    <xf numFmtId="1" fontId="12" fillId="0" borderId="0" xfId="0" applyNumberFormat="1" applyFont="1" applyProtection="1"/>
    <xf numFmtId="166" fontId="12" fillId="0" borderId="1" xfId="0" applyNumberFormat="1" applyFont="1" applyBorder="1" applyAlignment="1" applyProtection="1">
      <alignment horizontal="center"/>
    </xf>
    <xf numFmtId="0" fontId="10" fillId="0" borderId="0" xfId="0" applyFont="1" applyProtection="1"/>
    <xf numFmtId="1" fontId="10" fillId="0" borderId="0" xfId="0" applyNumberFormat="1" applyFont="1" applyProtection="1"/>
    <xf numFmtId="166" fontId="10" fillId="0" borderId="1" xfId="0" applyNumberFormat="1" applyFont="1" applyBorder="1" applyProtection="1"/>
    <xf numFmtId="3" fontId="11" fillId="0" borderId="1" xfId="0" applyNumberFormat="1" applyFont="1" applyBorder="1" applyProtection="1"/>
    <xf numFmtId="1" fontId="11" fillId="0" borderId="8" xfId="0" applyNumberFormat="1" applyFont="1" applyBorder="1" applyProtection="1"/>
    <xf numFmtId="166" fontId="11" fillId="0" borderId="8" xfId="0" applyNumberFormat="1" applyFont="1" applyBorder="1" applyProtection="1"/>
    <xf numFmtId="3" fontId="11" fillId="0" borderId="8" xfId="0" applyNumberFormat="1" applyFont="1" applyBorder="1" applyProtection="1"/>
    <xf numFmtId="3" fontId="12" fillId="6" borderId="8" xfId="0" applyNumberFormat="1" applyFont="1" applyFill="1" applyBorder="1" applyAlignment="1" applyProtection="1">
      <alignment horizontal="center"/>
    </xf>
    <xf numFmtId="3" fontId="12" fillId="7" borderId="8" xfId="0" applyNumberFormat="1" applyFont="1" applyFill="1" applyBorder="1" applyAlignment="1" applyProtection="1">
      <alignment horizontal="center"/>
    </xf>
    <xf numFmtId="3" fontId="12" fillId="8" borderId="8" xfId="0" applyNumberFormat="1" applyFont="1" applyFill="1" applyBorder="1" applyAlignment="1" applyProtection="1">
      <alignment horizontal="center"/>
    </xf>
    <xf numFmtId="3" fontId="12" fillId="9" borderId="17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Border="1" applyProtection="1"/>
    <xf numFmtId="1" fontId="11" fillId="0" borderId="0" xfId="0" applyNumberFormat="1" applyFont="1" applyFill="1" applyBorder="1" applyProtection="1"/>
    <xf numFmtId="166" fontId="11" fillId="0" borderId="0" xfId="0" applyNumberFormat="1" applyFont="1" applyFill="1" applyBorder="1" applyProtection="1"/>
    <xf numFmtId="3" fontId="12" fillId="0" borderId="0" xfId="0" applyNumberFormat="1" applyFont="1" applyFill="1" applyBorder="1" applyAlignment="1" applyProtection="1">
      <alignment horizontal="center"/>
    </xf>
    <xf numFmtId="3" fontId="12" fillId="5" borderId="25" xfId="0" applyNumberFormat="1" applyFont="1" applyFill="1" applyBorder="1" applyAlignment="1" applyProtection="1">
      <alignment horizontal="left"/>
    </xf>
    <xf numFmtId="3" fontId="12" fillId="5" borderId="26" xfId="0" applyNumberFormat="1" applyFont="1" applyFill="1" applyBorder="1" applyAlignment="1" applyProtection="1">
      <alignment horizontal="center"/>
    </xf>
    <xf numFmtId="3" fontId="12" fillId="5" borderId="27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47" xfId="0" applyFont="1" applyBorder="1" applyAlignment="1" applyProtection="1">
      <alignment horizontal="center"/>
    </xf>
    <xf numFmtId="9" fontId="12" fillId="6" borderId="48" xfId="0" applyNumberFormat="1" applyFont="1" applyFill="1" applyBorder="1" applyAlignment="1" applyProtection="1">
      <alignment horizontal="center"/>
    </xf>
    <xf numFmtId="9" fontId="12" fillId="7" borderId="48" xfId="0" applyNumberFormat="1" applyFont="1" applyFill="1" applyBorder="1" applyAlignment="1" applyProtection="1">
      <alignment horizontal="center"/>
    </xf>
    <xf numFmtId="9" fontId="12" fillId="8" borderId="48" xfId="0" applyNumberFormat="1" applyFont="1" applyFill="1" applyBorder="1" applyAlignment="1" applyProtection="1">
      <alignment horizontal="center"/>
    </xf>
    <xf numFmtId="9" fontId="12" fillId="9" borderId="49" xfId="0" applyNumberFormat="1" applyFont="1" applyFill="1" applyBorder="1" applyAlignment="1" applyProtection="1">
      <alignment horizontal="center"/>
    </xf>
    <xf numFmtId="9" fontId="11" fillId="0" borderId="0" xfId="0" applyNumberFormat="1" applyFont="1" applyProtection="1"/>
    <xf numFmtId="0" fontId="11" fillId="0" borderId="1" xfId="0" applyFont="1" applyBorder="1" applyProtection="1"/>
    <xf numFmtId="0" fontId="10" fillId="0" borderId="1" xfId="0" applyFont="1" applyBorder="1" applyProtection="1"/>
    <xf numFmtId="0" fontId="11" fillId="0" borderId="31" xfId="0" applyFont="1" applyBorder="1" applyProtection="1"/>
    <xf numFmtId="0" fontId="10" fillId="0" borderId="4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 wrapText="1"/>
    </xf>
    <xf numFmtId="0" fontId="10" fillId="0" borderId="48" xfId="0" applyFont="1" applyFill="1" applyBorder="1" applyAlignment="1" applyProtection="1">
      <alignment horizontal="center" vertical="center" wrapText="1"/>
    </xf>
    <xf numFmtId="0" fontId="10" fillId="0" borderId="48" xfId="0" applyFont="1" applyBorder="1" applyAlignment="1" applyProtection="1">
      <alignment horizontal="center" vertical="center" wrapText="1"/>
    </xf>
    <xf numFmtId="0" fontId="12" fillId="6" borderId="48" xfId="0" applyFont="1" applyFill="1" applyBorder="1" applyAlignment="1" applyProtection="1">
      <alignment horizontal="center" vertical="center" wrapText="1"/>
    </xf>
    <xf numFmtId="0" fontId="12" fillId="7" borderId="48" xfId="0" applyFont="1" applyFill="1" applyBorder="1" applyAlignment="1" applyProtection="1">
      <alignment horizontal="center" vertical="center" wrapText="1"/>
    </xf>
    <xf numFmtId="0" fontId="12" fillId="8" borderId="48" xfId="0" applyFont="1" applyFill="1" applyBorder="1" applyAlignment="1" applyProtection="1">
      <alignment horizontal="center" vertical="center" wrapText="1"/>
    </xf>
    <xf numFmtId="0" fontId="12" fillId="9" borderId="49" xfId="0" applyFont="1" applyFill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10" fillId="0" borderId="18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2" fillId="8" borderId="19" xfId="0" applyFont="1" applyFill="1" applyBorder="1" applyAlignment="1" applyProtection="1">
      <alignment horizontal="center" vertical="center" wrapText="1"/>
    </xf>
    <xf numFmtId="0" fontId="12" fillId="9" borderId="20" xfId="0" applyFont="1" applyFill="1" applyBorder="1" applyAlignment="1" applyProtection="1">
      <alignment horizontal="center" vertical="center" wrapText="1"/>
    </xf>
    <xf numFmtId="0" fontId="10" fillId="0" borderId="5" xfId="0" applyFont="1" applyBorder="1" applyProtection="1"/>
    <xf numFmtId="2" fontId="10" fillId="0" borderId="1" xfId="0" applyNumberFormat="1" applyFont="1" applyFill="1" applyBorder="1" applyAlignment="1" applyProtection="1">
      <alignment horizontal="center"/>
    </xf>
    <xf numFmtId="3" fontId="11" fillId="6" borderId="1" xfId="0" applyNumberFormat="1" applyFont="1" applyFill="1" applyBorder="1" applyAlignment="1" applyProtection="1">
      <alignment horizontal="center"/>
    </xf>
    <xf numFmtId="3" fontId="11" fillId="7" borderId="1" xfId="0" applyNumberFormat="1" applyFont="1" applyFill="1" applyBorder="1" applyAlignment="1" applyProtection="1">
      <alignment horizontal="center"/>
    </xf>
    <xf numFmtId="3" fontId="11" fillId="8" borderId="1" xfId="0" applyNumberFormat="1" applyFont="1" applyFill="1" applyBorder="1" applyAlignment="1" applyProtection="1">
      <alignment horizontal="center"/>
    </xf>
    <xf numFmtId="3" fontId="11" fillId="9" borderId="6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0" fontId="10" fillId="0" borderId="50" xfId="0" applyFont="1" applyBorder="1" applyProtection="1"/>
    <xf numFmtId="0" fontId="10" fillId="0" borderId="9" xfId="0" applyFont="1" applyFill="1" applyBorder="1" applyAlignment="1" applyProtection="1">
      <alignment horizontal="center"/>
    </xf>
    <xf numFmtId="3" fontId="11" fillId="0" borderId="9" xfId="0" applyNumberFormat="1" applyFont="1" applyBorder="1" applyAlignment="1" applyProtection="1">
      <alignment horizontal="center"/>
    </xf>
    <xf numFmtId="3" fontId="11" fillId="6" borderId="9" xfId="0" applyNumberFormat="1" applyFont="1" applyFill="1" applyBorder="1" applyAlignment="1" applyProtection="1">
      <alignment horizontal="center"/>
    </xf>
    <xf numFmtId="3" fontId="11" fillId="7" borderId="9" xfId="0" applyNumberFormat="1" applyFont="1" applyFill="1" applyBorder="1" applyAlignment="1" applyProtection="1">
      <alignment horizontal="center"/>
    </xf>
    <xf numFmtId="3" fontId="11" fillId="8" borderId="9" xfId="0" applyNumberFormat="1" applyFont="1" applyFill="1" applyBorder="1" applyAlignment="1" applyProtection="1">
      <alignment horizontal="center"/>
    </xf>
    <xf numFmtId="3" fontId="11" fillId="9" borderId="10" xfId="0" applyNumberFormat="1" applyFont="1" applyFill="1" applyBorder="1" applyAlignment="1" applyProtection="1">
      <alignment horizontal="center"/>
    </xf>
    <xf numFmtId="0" fontId="11" fillId="0" borderId="8" xfId="0" applyFont="1" applyBorder="1" applyProtection="1"/>
    <xf numFmtId="2" fontId="10" fillId="0" borderId="8" xfId="0" applyNumberFormat="1" applyFont="1" applyFill="1" applyBorder="1" applyAlignment="1" applyProtection="1">
      <alignment horizontal="center"/>
    </xf>
    <xf numFmtId="1" fontId="12" fillId="0" borderId="8" xfId="0" applyNumberFormat="1" applyFont="1" applyBorder="1" applyAlignment="1" applyProtection="1">
      <alignment horizontal="center"/>
    </xf>
    <xf numFmtId="0" fontId="10" fillId="0" borderId="0" xfId="0" applyFont="1" applyFill="1" applyBorder="1" applyProtection="1"/>
    <xf numFmtId="1" fontId="12" fillId="0" borderId="0" xfId="0" applyNumberFormat="1" applyFont="1" applyBorder="1" applyProtection="1"/>
    <xf numFmtId="0" fontId="12" fillId="10" borderId="0" xfId="0" applyFont="1" applyFill="1" applyBorder="1" applyProtection="1"/>
    <xf numFmtId="0" fontId="12" fillId="11" borderId="13" xfId="0" applyFont="1" applyFill="1" applyBorder="1" applyProtection="1"/>
    <xf numFmtId="0" fontId="11" fillId="11" borderId="14" xfId="0" applyFont="1" applyFill="1" applyBorder="1" applyProtection="1"/>
    <xf numFmtId="3" fontId="12" fillId="11" borderId="15" xfId="0" applyNumberFormat="1" applyFont="1" applyFill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1" fillId="0" borderId="51" xfId="0" applyFont="1" applyBorder="1" applyAlignment="1" applyProtection="1"/>
    <xf numFmtId="0" fontId="11" fillId="0" borderId="52" xfId="0" applyFont="1" applyBorder="1" applyAlignment="1" applyProtection="1"/>
    <xf numFmtId="3" fontId="11" fillId="6" borderId="18" xfId="0" applyNumberFormat="1" applyFont="1" applyFill="1" applyBorder="1" applyProtection="1"/>
    <xf numFmtId="3" fontId="11" fillId="7" borderId="19" xfId="0" applyNumberFormat="1" applyFont="1" applyFill="1" applyBorder="1" applyProtection="1"/>
    <xf numFmtId="3" fontId="11" fillId="8" borderId="19" xfId="0" applyNumberFormat="1" applyFont="1" applyFill="1" applyBorder="1" applyProtection="1"/>
    <xf numFmtId="3" fontId="11" fillId="9" borderId="20" xfId="0" applyNumberFormat="1" applyFont="1" applyFill="1" applyBorder="1" applyProtection="1"/>
    <xf numFmtId="0" fontId="11" fillId="0" borderId="53" xfId="0" applyFont="1" applyBorder="1" applyAlignment="1" applyProtection="1"/>
    <xf numFmtId="0" fontId="11" fillId="0" borderId="54" xfId="0" applyFont="1" applyBorder="1" applyAlignment="1" applyProtection="1"/>
    <xf numFmtId="3" fontId="11" fillId="6" borderId="5" xfId="0" applyNumberFormat="1" applyFont="1" applyFill="1" applyBorder="1" applyProtection="1"/>
    <xf numFmtId="3" fontId="11" fillId="7" borderId="1" xfId="0" applyNumberFormat="1" applyFont="1" applyFill="1" applyBorder="1" applyProtection="1"/>
    <xf numFmtId="3" fontId="11" fillId="8" borderId="1" xfId="0" applyNumberFormat="1" applyFont="1" applyFill="1" applyBorder="1" applyProtection="1"/>
    <xf numFmtId="3" fontId="11" fillId="9" borderId="6" xfId="0" applyNumberFormat="1" applyFont="1" applyFill="1" applyBorder="1" applyProtection="1"/>
    <xf numFmtId="0" fontId="11" fillId="0" borderId="50" xfId="0" applyFont="1" applyBorder="1" applyProtection="1"/>
    <xf numFmtId="0" fontId="11" fillId="0" borderId="55" xfId="0" applyFont="1" applyBorder="1" applyProtection="1"/>
    <xf numFmtId="3" fontId="12" fillId="6" borderId="5" xfId="0" applyNumberFormat="1" applyFont="1" applyFill="1" applyBorder="1" applyProtection="1"/>
    <xf numFmtId="3" fontId="12" fillId="7" borderId="1" xfId="0" applyNumberFormat="1" applyFont="1" applyFill="1" applyBorder="1" applyProtection="1"/>
    <xf numFmtId="3" fontId="12" fillId="8" borderId="1" xfId="0" applyNumberFormat="1" applyFont="1" applyFill="1" applyBorder="1" applyProtection="1"/>
    <xf numFmtId="3" fontId="12" fillId="9" borderId="6" xfId="0" applyNumberFormat="1" applyFont="1" applyFill="1" applyBorder="1" applyProtection="1"/>
    <xf numFmtId="3" fontId="11" fillId="0" borderId="0" xfId="0" applyNumberFormat="1" applyFont="1" applyProtection="1"/>
    <xf numFmtId="0" fontId="11" fillId="0" borderId="7" xfId="0" applyFont="1" applyFill="1" applyBorder="1" applyProtection="1"/>
    <xf numFmtId="0" fontId="11" fillId="0" borderId="29" xfId="0" applyFont="1" applyBorder="1" applyProtection="1"/>
    <xf numFmtId="3" fontId="11" fillId="6" borderId="7" xfId="0" applyNumberFormat="1" applyFont="1" applyFill="1" applyBorder="1" applyProtection="1"/>
    <xf numFmtId="3" fontId="11" fillId="7" borderId="8" xfId="0" applyNumberFormat="1" applyFont="1" applyFill="1" applyBorder="1" applyProtection="1"/>
    <xf numFmtId="3" fontId="11" fillId="8" borderId="8" xfId="0" applyNumberFormat="1" applyFont="1" applyFill="1" applyBorder="1" applyProtection="1"/>
    <xf numFmtId="3" fontId="11" fillId="9" borderId="17" xfId="0" applyNumberFormat="1" applyFont="1" applyFill="1" applyBorder="1" applyProtection="1"/>
    <xf numFmtId="3" fontId="11" fillId="0" borderId="0" xfId="0" applyNumberFormat="1" applyFont="1" applyFill="1" applyBorder="1" applyProtection="1"/>
    <xf numFmtId="0" fontId="12" fillId="5" borderId="11" xfId="0" applyFont="1" applyFill="1" applyBorder="1" applyAlignment="1" applyProtection="1">
      <alignment horizontal="center"/>
    </xf>
    <xf numFmtId="3" fontId="12" fillId="5" borderId="12" xfId="0" applyNumberFormat="1" applyFont="1" applyFill="1" applyBorder="1" applyAlignment="1" applyProtection="1">
      <alignment horizont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wrapText="1"/>
    </xf>
    <xf numFmtId="1" fontId="12" fillId="12" borderId="2" xfId="0" applyNumberFormat="1" applyFont="1" applyFill="1" applyBorder="1" applyProtection="1"/>
    <xf numFmtId="1" fontId="11" fillId="12" borderId="3" xfId="0" applyNumberFormat="1" applyFont="1" applyFill="1" applyBorder="1" applyProtection="1"/>
    <xf numFmtId="3" fontId="11" fillId="12" borderId="4" xfId="0" applyNumberFormat="1" applyFont="1" applyFill="1" applyBorder="1" applyAlignment="1" applyProtection="1">
      <alignment horizontal="center"/>
    </xf>
    <xf numFmtId="3" fontId="11" fillId="0" borderId="7" xfId="0" applyNumberFormat="1" applyFont="1" applyFill="1" applyBorder="1" applyAlignment="1" applyProtection="1">
      <alignment horizontal="center" vertical="center"/>
    </xf>
    <xf numFmtId="1" fontId="12" fillId="12" borderId="56" xfId="0" applyNumberFormat="1" applyFont="1" applyFill="1" applyBorder="1" applyAlignment="1" applyProtection="1">
      <alignment horizontal="left"/>
    </xf>
    <xf numFmtId="1" fontId="12" fillId="12" borderId="41" xfId="0" applyNumberFormat="1" applyFont="1" applyFill="1" applyBorder="1" applyAlignment="1" applyProtection="1">
      <alignment horizontal="left"/>
    </xf>
    <xf numFmtId="166" fontId="11" fillId="12" borderId="17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0" fontId="11" fillId="0" borderId="55" xfId="0" applyFont="1" applyBorder="1" applyAlignment="1" applyProtection="1">
      <alignment horizontal="left"/>
    </xf>
    <xf numFmtId="166" fontId="11" fillId="0" borderId="57" xfId="0" applyNumberFormat="1" applyFont="1" applyFill="1" applyBorder="1" applyAlignment="1" applyProtection="1">
      <alignment horizontal="center"/>
    </xf>
    <xf numFmtId="0" fontId="11" fillId="0" borderId="57" xfId="0" applyFont="1" applyBorder="1" applyProtection="1"/>
    <xf numFmtId="1" fontId="11" fillId="0" borderId="57" xfId="0" applyNumberFormat="1" applyFont="1" applyBorder="1" applyAlignment="1" applyProtection="1">
      <alignment horizontal="center"/>
    </xf>
    <xf numFmtId="0" fontId="11" fillId="0" borderId="58" xfId="0" applyFont="1" applyBorder="1" applyProtection="1"/>
    <xf numFmtId="0" fontId="11" fillId="0" borderId="30" xfId="0" applyFont="1" applyBorder="1" applyProtection="1"/>
    <xf numFmtId="0" fontId="11" fillId="0" borderId="59" xfId="0" applyFont="1" applyBorder="1" applyProtection="1"/>
    <xf numFmtId="1" fontId="11" fillId="0" borderId="59" xfId="0" applyNumberFormat="1" applyFont="1" applyBorder="1" applyAlignment="1" applyProtection="1">
      <alignment horizontal="center"/>
    </xf>
    <xf numFmtId="0" fontId="11" fillId="0" borderId="42" xfId="0" applyFont="1" applyBorder="1" applyProtection="1"/>
    <xf numFmtId="1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10" fillId="0" borderId="55" xfId="0" applyFont="1" applyBorder="1" applyAlignment="1" applyProtection="1">
      <alignment horizontal="left"/>
    </xf>
    <xf numFmtId="1" fontId="11" fillId="0" borderId="58" xfId="0" applyNumberFormat="1" applyFont="1" applyBorder="1" applyProtection="1"/>
    <xf numFmtId="0" fontId="14" fillId="0" borderId="0" xfId="0" applyFont="1" applyProtection="1"/>
    <xf numFmtId="166" fontId="11" fillId="0" borderId="0" xfId="0" applyNumberFormat="1" applyFont="1" applyAlignment="1" applyProtection="1">
      <alignment horizontal="center"/>
    </xf>
    <xf numFmtId="0" fontId="12" fillId="7" borderId="1" xfId="0" applyFont="1" applyFill="1" applyBorder="1" applyAlignment="1" applyProtection="1">
      <alignment horizontal="center"/>
    </xf>
    <xf numFmtId="2" fontId="12" fillId="7" borderId="1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11" fillId="4" borderId="6" xfId="0" applyNumberFormat="1" applyFont="1" applyFill="1" applyBorder="1" applyAlignment="1" applyProtection="1">
      <alignment horizontal="center" vertic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166" fontId="2" fillId="0" borderId="6" xfId="0" applyNumberFormat="1" applyFont="1" applyBorder="1" applyAlignment="1" applyProtection="1">
      <alignment horizontal="center"/>
    </xf>
    <xf numFmtId="0" fontId="12" fillId="0" borderId="4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" fontId="12" fillId="0" borderId="48" xfId="0" applyNumberFormat="1" applyFont="1" applyBorder="1" applyAlignment="1" applyProtection="1">
      <alignment horizontal="center" vertical="center"/>
    </xf>
    <xf numFmtId="1" fontId="12" fillId="0" borderId="19" xfId="0" applyNumberFormat="1" applyFont="1" applyBorder="1" applyAlignment="1" applyProtection="1">
      <alignment horizontal="center" vertical="center"/>
    </xf>
    <xf numFmtId="1" fontId="12" fillId="0" borderId="48" xfId="0" applyNumberFormat="1" applyFont="1" applyBorder="1" applyAlignment="1" applyProtection="1">
      <alignment horizontal="center" vertical="center" wrapText="1"/>
    </xf>
    <xf numFmtId="1" fontId="12" fillId="0" borderId="19" xfId="0" applyNumberFormat="1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1" fontId="12" fillId="6" borderId="48" xfId="0" applyNumberFormat="1" applyFont="1" applyFill="1" applyBorder="1" applyAlignment="1" applyProtection="1">
      <alignment horizontal="center" vertical="center" wrapText="1"/>
    </xf>
    <xf numFmtId="1" fontId="12" fillId="6" borderId="19" xfId="0" applyNumberFormat="1" applyFont="1" applyFill="1" applyBorder="1" applyAlignment="1" applyProtection="1">
      <alignment horizontal="center" vertical="center" wrapText="1"/>
    </xf>
    <xf numFmtId="1" fontId="12" fillId="7" borderId="48" xfId="0" applyNumberFormat="1" applyFont="1" applyFill="1" applyBorder="1" applyAlignment="1" applyProtection="1">
      <alignment horizontal="center" vertical="center" wrapText="1"/>
    </xf>
    <xf numFmtId="1" fontId="12" fillId="7" borderId="19" xfId="0" applyNumberFormat="1" applyFont="1" applyFill="1" applyBorder="1" applyAlignment="1" applyProtection="1">
      <alignment horizontal="center" vertical="center" wrapText="1"/>
    </xf>
    <xf numFmtId="1" fontId="12" fillId="8" borderId="48" xfId="0" applyNumberFormat="1" applyFont="1" applyFill="1" applyBorder="1" applyAlignment="1" applyProtection="1">
      <alignment horizontal="center" vertical="center" wrapText="1"/>
    </xf>
    <xf numFmtId="1" fontId="12" fillId="8" borderId="19" xfId="0" applyNumberFormat="1" applyFont="1" applyFill="1" applyBorder="1" applyAlignment="1" applyProtection="1">
      <alignment horizontal="center" vertical="center" wrapText="1"/>
    </xf>
    <xf numFmtId="1" fontId="12" fillId="9" borderId="49" xfId="0" applyNumberFormat="1" applyFont="1" applyFill="1" applyBorder="1" applyAlignment="1" applyProtection="1">
      <alignment horizontal="center" vertical="center" wrapText="1"/>
    </xf>
    <xf numFmtId="1" fontId="12" fillId="9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Balance Forrajero</a:t>
            </a:r>
          </a:p>
        </c:rich>
      </c:tx>
      <c:layout>
        <c:manualLayout>
          <c:xMode val="edge"/>
          <c:yMode val="edge"/>
          <c:x val="0.304121484814398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937007874015748"/>
          <c:y val="9.684698730462353E-2"/>
          <c:w val="0.58818312710911136"/>
          <c:h val="0.76909533978801736"/>
        </c:manualLayout>
      </c:layout>
      <c:barChart>
        <c:barDir val="col"/>
        <c:grouping val="clustered"/>
        <c:varyColors val="0"/>
        <c:ser>
          <c:idx val="0"/>
          <c:order val="0"/>
          <c:tx>
            <c:v>Requerimientos</c:v>
          </c:tx>
          <c:invertIfNegative val="0"/>
          <c:cat>
            <c:strRef>
              <c:f>'Balance Resumen'!$G$59:$J$59</c:f>
              <c:strCache>
                <c:ptCount val="4"/>
                <c:pt idx="0">
                  <c:v>OTOÑO</c:v>
                </c:pt>
                <c:pt idx="1">
                  <c:v>INVIERNO</c:v>
                </c:pt>
                <c:pt idx="2">
                  <c:v>PRIMAVERA</c:v>
                </c:pt>
                <c:pt idx="3">
                  <c:v>VERANO</c:v>
                </c:pt>
              </c:strCache>
            </c:strRef>
          </c:cat>
          <c:val>
            <c:numRef>
              <c:f>'Balance Resumen'!$G$42:$J$42</c:f>
              <c:numCache>
                <c:formatCode>#,##0</c:formatCode>
                <c:ptCount val="4"/>
                <c:pt idx="0">
                  <c:v>32418.75</c:v>
                </c:pt>
                <c:pt idx="1">
                  <c:v>30015</c:v>
                </c:pt>
                <c:pt idx="2">
                  <c:v>38879.75</c:v>
                </c:pt>
                <c:pt idx="3">
                  <c:v>38106.25</c:v>
                </c:pt>
              </c:numCache>
            </c:numRef>
          </c:val>
        </c:ser>
        <c:ser>
          <c:idx val="1"/>
          <c:order val="1"/>
          <c:tx>
            <c:v>Disponibilidad</c:v>
          </c:tx>
          <c:invertIfNegative val="0"/>
          <c:cat>
            <c:strRef>
              <c:f>'Balance Resumen'!$G$59:$J$59</c:f>
              <c:strCache>
                <c:ptCount val="4"/>
                <c:pt idx="0">
                  <c:v>OTOÑO</c:v>
                </c:pt>
                <c:pt idx="1">
                  <c:v>INVIERNO</c:v>
                </c:pt>
                <c:pt idx="2">
                  <c:v>PRIMAVERA</c:v>
                </c:pt>
                <c:pt idx="3">
                  <c:v>VERANO</c:v>
                </c:pt>
              </c:strCache>
            </c:strRef>
          </c:cat>
          <c:val>
            <c:numRef>
              <c:f>'Balance Resumen'!$G$56:$J$56</c:f>
              <c:numCache>
                <c:formatCode>#,##0</c:formatCode>
                <c:ptCount val="4"/>
                <c:pt idx="0">
                  <c:v>14296.000000000002</c:v>
                </c:pt>
                <c:pt idx="1">
                  <c:v>26564</c:v>
                </c:pt>
                <c:pt idx="2">
                  <c:v>42716</c:v>
                </c:pt>
                <c:pt idx="3">
                  <c:v>33144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55296"/>
        <c:axId val="217310720"/>
      </c:barChart>
      <c:catAx>
        <c:axId val="21725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Estación</a:t>
                </a:r>
              </a:p>
            </c:rich>
          </c:tx>
          <c:layout>
            <c:manualLayout>
              <c:xMode val="edge"/>
              <c:yMode val="edge"/>
              <c:x val="0.40967581552305959"/>
              <c:y val="0.9260143854730306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es-ES"/>
          </a:p>
        </c:txPr>
        <c:crossAx val="217310720"/>
        <c:crosses val="autoZero"/>
        <c:auto val="1"/>
        <c:lblAlgn val="ctr"/>
        <c:lblOffset val="100"/>
        <c:noMultiLvlLbl val="0"/>
      </c:catAx>
      <c:valAx>
        <c:axId val="217310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Kg. De M.S.</a:t>
                </a:r>
              </a:p>
            </c:rich>
          </c:tx>
          <c:layout>
            <c:manualLayout>
              <c:xMode val="edge"/>
              <c:yMode val="edge"/>
              <c:x val="1.6924634420697412E-2"/>
              <c:y val="0.3473764198776317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es-ES"/>
          </a:p>
        </c:txPr>
        <c:crossAx val="21725529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FF0000"/>
          </a:solidFill>
        </a:ln>
      </c:spPr>
    </c:plotArea>
    <c:legend>
      <c:legendPos val="r"/>
      <c:layout>
        <c:manualLayout>
          <c:xMode val="edge"/>
          <c:yMode val="edge"/>
          <c:x val="0.78951608548931385"/>
          <c:y val="0.43982391552137512"/>
          <c:w val="0.19216310461192351"/>
          <c:h val="9.7057659805835417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ln cap="rnd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244929</xdr:colOff>
      <xdr:row>3</xdr:row>
      <xdr:rowOff>25854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1006929" cy="1006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0</xdr:row>
      <xdr:rowOff>19050</xdr:rowOff>
    </xdr:from>
    <xdr:to>
      <xdr:col>8</xdr:col>
      <xdr:colOff>168729</xdr:colOff>
      <xdr:row>3</xdr:row>
      <xdr:rowOff>63954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19050"/>
          <a:ext cx="1006929" cy="1006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0</xdr:rowOff>
    </xdr:from>
    <xdr:to>
      <xdr:col>7</xdr:col>
      <xdr:colOff>1187904</xdr:colOff>
      <xdr:row>4</xdr:row>
      <xdr:rowOff>187779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0"/>
          <a:ext cx="1006929" cy="1006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0</xdr:rowOff>
    </xdr:from>
    <xdr:to>
      <xdr:col>7</xdr:col>
      <xdr:colOff>1187904</xdr:colOff>
      <xdr:row>4</xdr:row>
      <xdr:rowOff>187779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0"/>
          <a:ext cx="1006929" cy="10069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7</xdr:col>
      <xdr:colOff>25854</xdr:colOff>
      <xdr:row>3</xdr:row>
      <xdr:rowOff>35379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0"/>
          <a:ext cx="1006929" cy="10069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0</xdr:rowOff>
    </xdr:from>
    <xdr:to>
      <xdr:col>5</xdr:col>
      <xdr:colOff>63954</xdr:colOff>
      <xdr:row>3</xdr:row>
      <xdr:rowOff>51254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0"/>
          <a:ext cx="1006929" cy="1013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47625</xdr:rowOff>
    </xdr:from>
    <xdr:to>
      <xdr:col>11</xdr:col>
      <xdr:colOff>752929</xdr:colOff>
      <xdr:row>9</xdr:row>
      <xdr:rowOff>133804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0" y="47625"/>
          <a:ext cx="2356304" cy="2356304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58</xdr:row>
      <xdr:rowOff>57150</xdr:rowOff>
    </xdr:from>
    <xdr:to>
      <xdr:col>3</xdr:col>
      <xdr:colOff>936625</xdr:colOff>
      <xdr:row>76</xdr:row>
      <xdr:rowOff>222250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activeCell="E8" sqref="E8"/>
    </sheetView>
  </sheetViews>
  <sheetFormatPr baseColWidth="10" defaultColWidth="0" defaultRowHeight="15" zeroHeight="1" x14ac:dyDescent="0.25"/>
  <cols>
    <col min="1" max="1" width="4.5703125" style="162" customWidth="1"/>
    <col min="2" max="2" width="22.42578125" style="162" bestFit="1" customWidth="1"/>
    <col min="3" max="6" width="13.7109375" style="162" customWidth="1"/>
    <col min="7" max="9" width="11.42578125" style="162" customWidth="1"/>
    <col min="10" max="10" width="4.5703125" style="162" customWidth="1"/>
    <col min="11" max="14" width="0" style="162" hidden="1" customWidth="1"/>
    <col min="15" max="16384" width="11.42578125" style="162" hidden="1"/>
  </cols>
  <sheetData>
    <row r="1" spans="2:9" x14ac:dyDescent="0.25"/>
    <row r="2" spans="2:9" ht="46.5" customHeight="1" x14ac:dyDescent="0.35">
      <c r="B2" s="163" t="s">
        <v>0</v>
      </c>
      <c r="C2" s="163"/>
      <c r="D2" s="163"/>
      <c r="E2" s="163"/>
      <c r="F2" s="163"/>
      <c r="G2" s="163"/>
      <c r="H2" s="163"/>
      <c r="I2" s="164"/>
    </row>
    <row r="3" spans="2:9" ht="15.75" thickBot="1" x14ac:dyDescent="0.3"/>
    <row r="4" spans="2:9" ht="26.25" customHeight="1" thickBot="1" x14ac:dyDescent="0.3">
      <c r="B4" s="165" t="s">
        <v>1</v>
      </c>
      <c r="C4" s="166"/>
      <c r="D4" s="166"/>
      <c r="E4" s="166"/>
      <c r="F4" s="166"/>
      <c r="G4" s="166"/>
      <c r="H4" s="166"/>
      <c r="I4" s="167"/>
    </row>
    <row r="5" spans="2:9" ht="15.75" thickBot="1" x14ac:dyDescent="0.3"/>
    <row r="6" spans="2:9" ht="31.5" x14ac:dyDescent="0.25">
      <c r="B6" s="168" t="s">
        <v>2</v>
      </c>
      <c r="C6" s="169" t="s">
        <v>116</v>
      </c>
      <c r="D6" s="169" t="s">
        <v>117</v>
      </c>
      <c r="E6" s="169" t="s">
        <v>149</v>
      </c>
      <c r="F6" s="169" t="s">
        <v>119</v>
      </c>
      <c r="G6" s="170" t="s">
        <v>18</v>
      </c>
      <c r="H6" s="170" t="s">
        <v>19</v>
      </c>
      <c r="I6" s="171" t="s">
        <v>3</v>
      </c>
    </row>
    <row r="7" spans="2:9" ht="15.75" x14ac:dyDescent="0.25">
      <c r="B7" s="172" t="s">
        <v>4</v>
      </c>
      <c r="C7" s="179">
        <v>15</v>
      </c>
      <c r="D7" s="179">
        <v>9</v>
      </c>
      <c r="E7" s="179">
        <v>22</v>
      </c>
      <c r="F7" s="179">
        <v>22</v>
      </c>
      <c r="G7" s="181">
        <f>AVERAGE(C7:F7)</f>
        <v>17</v>
      </c>
      <c r="H7" s="3">
        <v>500</v>
      </c>
      <c r="I7" s="370">
        <f>IF(G7=0,"",IF(G7="","",IF(H7="","Falta Peso",IF(G7="","",(G7*H7)/500))))</f>
        <v>17</v>
      </c>
    </row>
    <row r="8" spans="2:9" ht="15.75" x14ac:dyDescent="0.25">
      <c r="B8" s="172" t="s">
        <v>5</v>
      </c>
      <c r="C8" s="179">
        <v>8</v>
      </c>
      <c r="D8" s="179">
        <v>14</v>
      </c>
      <c r="E8" s="179">
        <v>1</v>
      </c>
      <c r="F8" s="179">
        <v>1</v>
      </c>
      <c r="G8" s="181">
        <f>AVERAGE(C8:F8)</f>
        <v>6</v>
      </c>
      <c r="H8" s="3">
        <v>500</v>
      </c>
      <c r="I8" s="370">
        <f t="shared" ref="I8:I15" si="0">IF(G8=0,"",IF(G8="","",IF(H8="","Falta Peso",IF(G8="","",(G8*H8)/500))))</f>
        <v>6</v>
      </c>
    </row>
    <row r="9" spans="2:9" ht="15.75" x14ac:dyDescent="0.25">
      <c r="B9" s="172" t="s">
        <v>6</v>
      </c>
      <c r="C9" s="179">
        <v>5</v>
      </c>
      <c r="D9" s="179">
        <v>5</v>
      </c>
      <c r="E9" s="179">
        <v>3</v>
      </c>
      <c r="F9" s="179"/>
      <c r="G9" s="181">
        <v>3</v>
      </c>
      <c r="H9" s="3">
        <v>300</v>
      </c>
      <c r="I9" s="370">
        <f t="shared" si="0"/>
        <v>1.8</v>
      </c>
    </row>
    <row r="10" spans="2:9" ht="15.75" x14ac:dyDescent="0.25">
      <c r="B10" s="172" t="s">
        <v>7</v>
      </c>
      <c r="C10" s="179"/>
      <c r="D10" s="179"/>
      <c r="E10" s="179">
        <v>3</v>
      </c>
      <c r="F10" s="179">
        <v>5</v>
      </c>
      <c r="G10" s="181">
        <f>AVERAGE(C10:F10)</f>
        <v>4</v>
      </c>
      <c r="H10" s="3">
        <v>280</v>
      </c>
      <c r="I10" s="370">
        <f t="shared" si="0"/>
        <v>2.2400000000000002</v>
      </c>
    </row>
    <row r="11" spans="2:9" ht="15.75" x14ac:dyDescent="0.25">
      <c r="B11" s="172" t="s">
        <v>8</v>
      </c>
      <c r="C11" s="179"/>
      <c r="D11" s="179"/>
      <c r="E11" s="179">
        <v>8</v>
      </c>
      <c r="F11" s="179">
        <v>8</v>
      </c>
      <c r="G11" s="181">
        <f t="shared" ref="G11:G14" si="1">AVERAGE(C11:F11)</f>
        <v>8</v>
      </c>
      <c r="H11" s="3">
        <v>150</v>
      </c>
      <c r="I11" s="370">
        <f t="shared" si="0"/>
        <v>2.4</v>
      </c>
    </row>
    <row r="12" spans="2:9" ht="15.75" x14ac:dyDescent="0.25">
      <c r="B12" s="172" t="s">
        <v>9</v>
      </c>
      <c r="C12" s="179"/>
      <c r="D12" s="179"/>
      <c r="E12" s="179"/>
      <c r="F12" s="179"/>
      <c r="G12" s="181"/>
      <c r="H12" s="3">
        <v>300</v>
      </c>
      <c r="I12" s="370" t="str">
        <f t="shared" si="0"/>
        <v/>
      </c>
    </row>
    <row r="13" spans="2:9" ht="15.75" x14ac:dyDescent="0.25">
      <c r="B13" s="172" t="s">
        <v>10</v>
      </c>
      <c r="C13" s="179"/>
      <c r="D13" s="179"/>
      <c r="E13" s="179"/>
      <c r="F13" s="179"/>
      <c r="G13" s="181"/>
      <c r="H13" s="3">
        <v>250</v>
      </c>
      <c r="I13" s="370" t="str">
        <f t="shared" si="0"/>
        <v/>
      </c>
    </row>
    <row r="14" spans="2:9" ht="15.75" x14ac:dyDescent="0.25">
      <c r="B14" s="172" t="s">
        <v>11</v>
      </c>
      <c r="C14" s="179">
        <v>1</v>
      </c>
      <c r="D14" s="179">
        <v>1</v>
      </c>
      <c r="E14" s="179">
        <v>1</v>
      </c>
      <c r="F14" s="179">
        <v>1</v>
      </c>
      <c r="G14" s="181">
        <f t="shared" si="1"/>
        <v>1</v>
      </c>
      <c r="H14" s="3">
        <v>550</v>
      </c>
      <c r="I14" s="370">
        <f t="shared" si="0"/>
        <v>1.1000000000000001</v>
      </c>
    </row>
    <row r="15" spans="2:9" ht="16.5" thickBot="1" x14ac:dyDescent="0.3">
      <c r="B15" s="173" t="s">
        <v>12</v>
      </c>
      <c r="C15" s="180"/>
      <c r="D15" s="180"/>
      <c r="E15" s="180"/>
      <c r="F15" s="180"/>
      <c r="G15" s="182"/>
      <c r="H15" s="4">
        <v>750</v>
      </c>
      <c r="I15" s="370" t="str">
        <f t="shared" si="0"/>
        <v/>
      </c>
    </row>
    <row r="16" spans="2:9" ht="19.5" thickBot="1" x14ac:dyDescent="0.35">
      <c r="B16" s="174" t="s">
        <v>201</v>
      </c>
      <c r="C16" s="174"/>
      <c r="D16" s="174"/>
      <c r="E16" s="174"/>
      <c r="F16" s="174"/>
      <c r="G16" s="175"/>
      <c r="H16" s="176" t="s">
        <v>202</v>
      </c>
      <c r="I16" s="177">
        <f>SUM(I7:I15)</f>
        <v>30.54</v>
      </c>
    </row>
    <row r="17" spans="2:6" ht="15" customHeight="1" x14ac:dyDescent="0.25"/>
    <row r="18" spans="2:6" ht="11.25" hidden="1" customHeight="1" x14ac:dyDescent="0.25">
      <c r="B18" s="178" t="s">
        <v>13</v>
      </c>
      <c r="C18" s="178"/>
      <c r="D18" s="178"/>
      <c r="E18" s="178"/>
      <c r="F18" s="178"/>
    </row>
    <row r="19" spans="2:6" ht="11.25" hidden="1" customHeight="1" x14ac:dyDescent="0.25">
      <c r="B19" s="178" t="s">
        <v>14</v>
      </c>
      <c r="C19" s="178"/>
      <c r="D19" s="178"/>
      <c r="E19" s="178"/>
      <c r="F19" s="178"/>
    </row>
    <row r="20" spans="2:6" hidden="1" x14ac:dyDescent="0.25"/>
  </sheetData>
  <sheetProtection password="A04D" sheet="1" objects="1" scenarios="1"/>
  <mergeCells count="3">
    <mergeCell ref="B4:I4"/>
    <mergeCell ref="B2:H2"/>
    <mergeCell ref="B16:G16"/>
  </mergeCells>
  <conditionalFormatting sqref="C7:F15">
    <cfRule type="cellIs" dxfId="0" priority="1" operator="equal">
      <formula>" 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C12" sqref="C12"/>
    </sheetView>
  </sheetViews>
  <sheetFormatPr baseColWidth="10" defaultColWidth="0" defaultRowHeight="15" zeroHeight="1" x14ac:dyDescent="0.25"/>
  <cols>
    <col min="1" max="1" width="4.28515625" customWidth="1"/>
    <col min="2" max="2" width="22.42578125" bestFit="1" customWidth="1"/>
    <col min="3" max="5" width="11.42578125" customWidth="1"/>
    <col min="6" max="6" width="14.28515625" customWidth="1"/>
    <col min="7" max="7" width="13.42578125" customWidth="1"/>
    <col min="8" max="8" width="12.28515625" customWidth="1"/>
    <col min="9" max="9" width="4.28515625" customWidth="1"/>
    <col min="10" max="16384" width="11.42578125" hidden="1"/>
  </cols>
  <sheetData>
    <row r="1" spans="2:8" x14ac:dyDescent="0.25"/>
    <row r="2" spans="2:8" ht="45" customHeight="1" x14ac:dyDescent="0.25">
      <c r="B2" s="115" t="s">
        <v>15</v>
      </c>
      <c r="C2" s="115"/>
      <c r="D2" s="115"/>
      <c r="E2" s="115"/>
      <c r="F2" s="115"/>
      <c r="G2" s="115"/>
    </row>
    <row r="3" spans="2:8" ht="15.75" thickBot="1" x14ac:dyDescent="0.3"/>
    <row r="4" spans="2:8" ht="15.75" thickBot="1" x14ac:dyDescent="0.3">
      <c r="B4" s="116" t="s">
        <v>16</v>
      </c>
      <c r="C4" s="117"/>
      <c r="D4" s="117"/>
      <c r="E4" s="117"/>
      <c r="F4" s="117"/>
      <c r="G4" s="117"/>
      <c r="H4" s="118"/>
    </row>
    <row r="5" spans="2:8" ht="5.25" customHeight="1" thickBot="1" x14ac:dyDescent="0.3"/>
    <row r="6" spans="2:8" ht="24.75" customHeight="1" thickBot="1" x14ac:dyDescent="0.3">
      <c r="B6" s="110" t="s">
        <v>17</v>
      </c>
      <c r="C6" s="111"/>
      <c r="D6" s="111"/>
      <c r="E6" s="111"/>
      <c r="F6" s="111"/>
      <c r="G6" s="111"/>
      <c r="H6" s="112"/>
    </row>
    <row r="7" spans="2:8" ht="5.25" customHeight="1" thickBot="1" x14ac:dyDescent="0.3"/>
    <row r="8" spans="2:8" ht="39" thickBot="1" x14ac:dyDescent="0.3">
      <c r="B8" s="8" t="s">
        <v>2</v>
      </c>
      <c r="C8" s="9" t="s">
        <v>18</v>
      </c>
      <c r="D8" s="9" t="s">
        <v>19</v>
      </c>
      <c r="E8" s="9" t="s">
        <v>3</v>
      </c>
      <c r="F8" s="9" t="s">
        <v>20</v>
      </c>
      <c r="G8" s="9" t="s">
        <v>21</v>
      </c>
      <c r="H8" s="10" t="s">
        <v>22</v>
      </c>
    </row>
    <row r="9" spans="2:8" ht="15.75" x14ac:dyDescent="0.25">
      <c r="B9" s="7" t="s">
        <v>4</v>
      </c>
      <c r="C9" s="14">
        <f>IF('Calculadora U.A.'!G7=0,"",'Calculadora U.A.'!G7)</f>
        <v>17</v>
      </c>
      <c r="D9" s="14">
        <f>IF('Calculadora U.A.'!H7=0,"",'Calculadora U.A.'!H7)</f>
        <v>500</v>
      </c>
      <c r="E9" s="14">
        <f>IF('Calculadora U.A.'!I7=0,"",'Calculadora U.A.'!I7)</f>
        <v>17</v>
      </c>
      <c r="F9" s="91">
        <v>0.03</v>
      </c>
      <c r="G9" s="14">
        <f>IF(C9="","",IF(F9="","Falta % Consumo",IF(C9="","",(D9*F9))))</f>
        <v>15</v>
      </c>
      <c r="H9" s="15">
        <f>IF(C9="","",(C9*G9*365))</f>
        <v>93075</v>
      </c>
    </row>
    <row r="10" spans="2:8" ht="15.75" x14ac:dyDescent="0.25">
      <c r="B10" s="1" t="s">
        <v>5</v>
      </c>
      <c r="C10" s="16">
        <f>IF('Calculadora U.A.'!G8=0,"",'Calculadora U.A.'!G8)</f>
        <v>6</v>
      </c>
      <c r="D10" s="16">
        <f>IF('Calculadora U.A.'!H8=0,"",'Calculadora U.A.'!H8)</f>
        <v>500</v>
      </c>
      <c r="E10" s="16">
        <f>IF('Calculadora U.A.'!I8=0,"",'Calculadora U.A.'!I8)</f>
        <v>6</v>
      </c>
      <c r="F10" s="92">
        <v>0.02</v>
      </c>
      <c r="G10" s="14">
        <f t="shared" ref="G10:G17" si="0">IF(C10="","",IF(F10="","Falta % Consumo",IF(C10="","",(D10*F10))))</f>
        <v>10</v>
      </c>
      <c r="H10" s="17">
        <f t="shared" ref="H10:H17" si="1">IF(C10="","",(C10*G10*365))</f>
        <v>21900</v>
      </c>
    </row>
    <row r="11" spans="2:8" ht="15.75" x14ac:dyDescent="0.25">
      <c r="B11" s="1" t="s">
        <v>6</v>
      </c>
      <c r="C11" s="16">
        <f>IF('Calculadora U.A.'!G9=0,"",'Calculadora U.A.'!G9)</f>
        <v>3</v>
      </c>
      <c r="D11" s="16">
        <f>IF('Calculadora U.A.'!H9=0,"",'Calculadora U.A.'!H9)</f>
        <v>300</v>
      </c>
      <c r="E11" s="16">
        <f>IF('Calculadora U.A.'!I9=0,"",'Calculadora U.A.'!I9)</f>
        <v>1.8</v>
      </c>
      <c r="F11" s="92">
        <v>2.5000000000000001E-2</v>
      </c>
      <c r="G11" s="14">
        <f t="shared" si="0"/>
        <v>7.5</v>
      </c>
      <c r="H11" s="17">
        <f t="shared" si="1"/>
        <v>8212.5</v>
      </c>
    </row>
    <row r="12" spans="2:8" ht="15.75" x14ac:dyDescent="0.25">
      <c r="B12" s="1" t="s">
        <v>7</v>
      </c>
      <c r="C12" s="16">
        <f>IF('Calculadora U.A.'!G10=0,"",'Calculadora U.A.'!G10)</f>
        <v>4</v>
      </c>
      <c r="D12" s="16">
        <f>IF('Calculadora U.A.'!H10=0,"",'Calculadora U.A.'!H10)</f>
        <v>280</v>
      </c>
      <c r="E12" s="16">
        <f>IF('Calculadora U.A.'!I10=0,"",'Calculadora U.A.'!I10)</f>
        <v>2.2400000000000002</v>
      </c>
      <c r="F12" s="92">
        <v>2.5000000000000001E-2</v>
      </c>
      <c r="G12" s="14">
        <f t="shared" si="0"/>
        <v>7</v>
      </c>
      <c r="H12" s="17">
        <f t="shared" si="1"/>
        <v>10220</v>
      </c>
    </row>
    <row r="13" spans="2:8" ht="15.75" x14ac:dyDescent="0.25">
      <c r="B13" s="1" t="s">
        <v>8</v>
      </c>
      <c r="C13" s="16">
        <f>IF('Calculadora U.A.'!G11=0,"",'Calculadora U.A.'!G11)</f>
        <v>8</v>
      </c>
      <c r="D13" s="16">
        <f>IF('Calculadora U.A.'!H11=0,"",'Calculadora U.A.'!H11)</f>
        <v>150</v>
      </c>
      <c r="E13" s="16">
        <f>IF('Calculadora U.A.'!I11=0,"",'Calculadora U.A.'!I11)</f>
        <v>2.4</v>
      </c>
      <c r="F13" s="92">
        <v>2.5000000000000001E-2</v>
      </c>
      <c r="G13" s="14">
        <f t="shared" si="0"/>
        <v>3.75</v>
      </c>
      <c r="H13" s="17">
        <f t="shared" si="1"/>
        <v>10950</v>
      </c>
    </row>
    <row r="14" spans="2:8" ht="15.75" x14ac:dyDescent="0.25">
      <c r="B14" s="1" t="s">
        <v>9</v>
      </c>
      <c r="C14" s="16" t="str">
        <f>IF('Calculadora U.A.'!G12=0,"",'Calculadora U.A.'!G12)</f>
        <v/>
      </c>
      <c r="D14" s="16">
        <f>IF('Calculadora U.A.'!H12=0,"",'Calculadora U.A.'!H12)</f>
        <v>300</v>
      </c>
      <c r="E14" s="16" t="str">
        <f>IF('Calculadora U.A.'!I12=0,"",'Calculadora U.A.'!I12)</f>
        <v/>
      </c>
      <c r="F14" s="92">
        <v>2.5000000000000001E-2</v>
      </c>
      <c r="G14" s="14" t="str">
        <f t="shared" si="0"/>
        <v/>
      </c>
      <c r="H14" s="17" t="str">
        <f t="shared" si="1"/>
        <v/>
      </c>
    </row>
    <row r="15" spans="2:8" ht="15.75" x14ac:dyDescent="0.25">
      <c r="B15" s="1" t="s">
        <v>10</v>
      </c>
      <c r="C15" s="16" t="str">
        <f>IF('Calculadora U.A.'!G13=0,"",'Calculadora U.A.'!G13)</f>
        <v/>
      </c>
      <c r="D15" s="16">
        <f>IF('Calculadora U.A.'!H13=0,"",'Calculadora U.A.'!H13)</f>
        <v>250</v>
      </c>
      <c r="E15" s="16" t="str">
        <f>IF('Calculadora U.A.'!I13=0,"",'Calculadora U.A.'!I13)</f>
        <v/>
      </c>
      <c r="F15" s="92">
        <v>2.5000000000000001E-2</v>
      </c>
      <c r="G15" s="14" t="str">
        <f t="shared" si="0"/>
        <v/>
      </c>
      <c r="H15" s="17" t="str">
        <f t="shared" si="1"/>
        <v/>
      </c>
    </row>
    <row r="16" spans="2:8" ht="15.75" x14ac:dyDescent="0.25">
      <c r="B16" s="1" t="s">
        <v>11</v>
      </c>
      <c r="C16" s="16">
        <f>IF('Calculadora U.A.'!G14=0,"",'Calculadora U.A.'!G14)</f>
        <v>1</v>
      </c>
      <c r="D16" s="16">
        <f>IF('Calculadora U.A.'!H14=0,"",'Calculadora U.A.'!H14)</f>
        <v>550</v>
      </c>
      <c r="E16" s="16">
        <f>IF('Calculadora U.A.'!I14=0,"",'Calculadora U.A.'!I14)</f>
        <v>1.1000000000000001</v>
      </c>
      <c r="F16" s="92">
        <v>2.5000000000000001E-2</v>
      </c>
      <c r="G16" s="14">
        <f t="shared" si="0"/>
        <v>13.75</v>
      </c>
      <c r="H16" s="17">
        <f t="shared" si="1"/>
        <v>5018.75</v>
      </c>
    </row>
    <row r="17" spans="2:8" ht="16.5" thickBot="1" x14ac:dyDescent="0.3">
      <c r="B17" s="2" t="s">
        <v>12</v>
      </c>
      <c r="C17" s="18" t="str">
        <f>IF('Calculadora U.A.'!G15=0,"",'Calculadora U.A.'!G15)</f>
        <v/>
      </c>
      <c r="D17" s="18">
        <f>IF('Calculadora U.A.'!H15=0,"",'Calculadora U.A.'!H15)</f>
        <v>750</v>
      </c>
      <c r="E17" s="18" t="str">
        <f>IF('Calculadora U.A.'!I15=0,"",'Calculadora U.A.'!I15)</f>
        <v/>
      </c>
      <c r="F17" s="93">
        <v>2.5000000000000001E-2</v>
      </c>
      <c r="G17" s="90" t="str">
        <f t="shared" si="0"/>
        <v/>
      </c>
      <c r="H17" s="19" t="str">
        <f t="shared" si="1"/>
        <v/>
      </c>
    </row>
    <row r="18" spans="2:8" ht="15.75" x14ac:dyDescent="0.25">
      <c r="H18" s="20">
        <f>SUM(H9:H17)</f>
        <v>149376.25</v>
      </c>
    </row>
    <row r="19" spans="2:8" ht="5.25" customHeight="1" x14ac:dyDescent="0.25"/>
    <row r="20" spans="2:8" ht="18.75" x14ac:dyDescent="0.3">
      <c r="B20" s="114" t="str">
        <f>"El rebaño consumiría "&amp;TEXT(H18,"###.###")&amp;" kilogramos de Materia Seca al año"</f>
        <v>El rebaño consumiría 149.376 kilogramos de Materia Seca al año</v>
      </c>
      <c r="C20" s="114"/>
      <c r="D20" s="114"/>
      <c r="E20" s="114"/>
      <c r="F20" s="114"/>
      <c r="G20" s="114"/>
      <c r="H20" s="114"/>
    </row>
    <row r="21" spans="2:8" ht="5.25" customHeight="1" x14ac:dyDescent="0.25"/>
    <row r="22" spans="2:8" x14ac:dyDescent="0.25"/>
  </sheetData>
  <sheetProtection password="A04D" sheet="1" objects="1" scenarios="1"/>
  <mergeCells count="4">
    <mergeCell ref="B20:H20"/>
    <mergeCell ref="B6:H6"/>
    <mergeCell ref="B2:G2"/>
    <mergeCell ref="B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workbookViewId="0">
      <selection activeCell="E12" sqref="E12"/>
    </sheetView>
  </sheetViews>
  <sheetFormatPr baseColWidth="10" defaultColWidth="0" defaultRowHeight="15" zeroHeight="1" x14ac:dyDescent="0.25"/>
  <cols>
    <col min="1" max="1" width="3.5703125" customWidth="1"/>
    <col min="2" max="2" width="23.7109375" customWidth="1"/>
    <col min="3" max="3" width="14.7109375" customWidth="1"/>
    <col min="4" max="4" width="10.85546875" customWidth="1"/>
    <col min="5" max="5" width="9.7109375" customWidth="1"/>
    <col min="6" max="6" width="12.28515625" customWidth="1"/>
    <col min="7" max="7" width="14.7109375" customWidth="1"/>
    <col min="8" max="8" width="18.140625" customWidth="1"/>
    <col min="9" max="9" width="3.5703125" customWidth="1"/>
    <col min="10" max="15" width="0" hidden="1" customWidth="1"/>
    <col min="16" max="16384" width="11.42578125" hidden="1"/>
  </cols>
  <sheetData>
    <row r="1" spans="2:15" x14ac:dyDescent="0.25">
      <c r="N1" s="21" t="s">
        <v>23</v>
      </c>
    </row>
    <row r="2" spans="2:15" ht="21" x14ac:dyDescent="0.35">
      <c r="B2" s="131" t="s">
        <v>27</v>
      </c>
      <c r="C2" s="131"/>
      <c r="D2" s="131"/>
      <c r="E2" s="131"/>
      <c r="F2" s="131"/>
      <c r="G2" s="131"/>
      <c r="N2" s="21" t="s">
        <v>24</v>
      </c>
      <c r="O2">
        <f>1/3</f>
        <v>0.33333333333333331</v>
      </c>
    </row>
    <row r="3" spans="2:15" ht="18.75" x14ac:dyDescent="0.3">
      <c r="B3" s="132" t="s">
        <v>28</v>
      </c>
      <c r="C3" s="132"/>
      <c r="D3" s="132"/>
      <c r="E3" s="132"/>
      <c r="F3" s="132"/>
      <c r="G3" s="132"/>
      <c r="N3" s="21" t="s">
        <v>25</v>
      </c>
      <c r="O3">
        <f>1/2</f>
        <v>0.5</v>
      </c>
    </row>
    <row r="4" spans="2:15" ht="9.75" customHeight="1" x14ac:dyDescent="0.25">
      <c r="N4" s="21" t="s">
        <v>26</v>
      </c>
      <c r="O4">
        <f>2/3</f>
        <v>0.66666666666666663</v>
      </c>
    </row>
    <row r="5" spans="2:15" x14ac:dyDescent="0.25">
      <c r="B5" t="s">
        <v>29</v>
      </c>
      <c r="C5" s="94" t="s">
        <v>24</v>
      </c>
    </row>
    <row r="6" spans="2:15" ht="6.75" customHeight="1" thickBot="1" x14ac:dyDescent="0.3">
      <c r="N6" s="22" t="s">
        <v>32</v>
      </c>
      <c r="O6">
        <v>75</v>
      </c>
    </row>
    <row r="7" spans="2:15" ht="30" customHeight="1" x14ac:dyDescent="0.25">
      <c r="B7" s="133" t="s">
        <v>2</v>
      </c>
      <c r="C7" s="135" t="s">
        <v>30</v>
      </c>
      <c r="D7" s="6" t="s">
        <v>31</v>
      </c>
      <c r="E7" s="137" t="s">
        <v>18</v>
      </c>
      <c r="F7" s="139" t="str">
        <f>"CATEGORIAS A SUPLIR CON "&amp;B3</f>
        <v>CATEGORIAS A SUPLIR CON NABOS</v>
      </c>
      <c r="G7" s="133" t="s">
        <v>36</v>
      </c>
      <c r="H7" s="25" t="s">
        <v>37</v>
      </c>
      <c r="N7" s="22" t="s">
        <v>33</v>
      </c>
      <c r="O7">
        <v>60</v>
      </c>
    </row>
    <row r="8" spans="2:15" ht="33.75" customHeight="1" thickBot="1" x14ac:dyDescent="0.3">
      <c r="B8" s="134"/>
      <c r="C8" s="136"/>
      <c r="D8" s="95" t="s">
        <v>32</v>
      </c>
      <c r="E8" s="138"/>
      <c r="F8" s="140"/>
      <c r="G8" s="134"/>
      <c r="H8" s="99">
        <v>0.8</v>
      </c>
    </row>
    <row r="9" spans="2:15" ht="15.75" x14ac:dyDescent="0.25">
      <c r="B9" s="36" t="s">
        <v>4</v>
      </c>
      <c r="C9" s="33">
        <f>IFERROR((SUMIFS($O$1:$O$4,$N$1:$N$4,$C$5))*'Consumo M.S.'!G9,"")</f>
        <v>5</v>
      </c>
      <c r="D9" s="11">
        <f>SUMIFS($O$6:$O$7,$N$6:$N$7,$D$8)</f>
        <v>75</v>
      </c>
      <c r="E9" s="11">
        <f>'Consumo M.S.'!C9</f>
        <v>17</v>
      </c>
      <c r="F9" s="96" t="s">
        <v>34</v>
      </c>
      <c r="G9" s="30">
        <f>IFERROR(IF(F9="Si",C9*D9*E9,""),"")</f>
        <v>6375</v>
      </c>
      <c r="H9" s="26">
        <f>IF(G9="","",G9/$H$8)</f>
        <v>7968.75</v>
      </c>
      <c r="N9" t="s">
        <v>34</v>
      </c>
    </row>
    <row r="10" spans="2:15" ht="15.75" x14ac:dyDescent="0.25">
      <c r="B10" s="37" t="s">
        <v>5</v>
      </c>
      <c r="C10" s="34">
        <f>IFERROR((SUMIFS($O$1:$O$4,$N$1:$N$4,$C$5))*'Consumo M.S.'!G10,"")</f>
        <v>3.333333333333333</v>
      </c>
      <c r="D10" s="12">
        <f t="shared" ref="D10:D17" si="0">SUMIFS($O$6:$O$7,$N$6:$N$7,$D$8)</f>
        <v>75</v>
      </c>
      <c r="E10" s="12">
        <f>'Consumo M.S.'!C10</f>
        <v>6</v>
      </c>
      <c r="F10" s="97" t="s">
        <v>35</v>
      </c>
      <c r="G10" s="31" t="str">
        <f t="shared" ref="G10:G17" si="1">IFERROR(IF(F10="Si",C10*D10*E10,""),"")</f>
        <v/>
      </c>
      <c r="H10" s="27" t="str">
        <f t="shared" ref="H10:H17" si="2">IF(G10="","",G10/$H$8)</f>
        <v/>
      </c>
      <c r="N10" t="s">
        <v>35</v>
      </c>
    </row>
    <row r="11" spans="2:15" ht="15.75" x14ac:dyDescent="0.25">
      <c r="B11" s="37" t="s">
        <v>6</v>
      </c>
      <c r="C11" s="34">
        <f>IFERROR((SUMIFS($O$1:$O$4,$N$1:$N$4,$C$5))*'Consumo M.S.'!G11,"")</f>
        <v>2.5</v>
      </c>
      <c r="D11" s="12">
        <f t="shared" si="0"/>
        <v>75</v>
      </c>
      <c r="E11" s="12">
        <f>'Consumo M.S.'!C11</f>
        <v>3</v>
      </c>
      <c r="F11" s="97" t="s">
        <v>34</v>
      </c>
      <c r="G11" s="31">
        <f t="shared" si="1"/>
        <v>562.5</v>
      </c>
      <c r="H11" s="27">
        <f t="shared" si="2"/>
        <v>703.125</v>
      </c>
    </row>
    <row r="12" spans="2:15" ht="15.75" x14ac:dyDescent="0.25">
      <c r="B12" s="37" t="s">
        <v>7</v>
      </c>
      <c r="C12" s="34">
        <f>IFERROR((SUMIFS($O$1:$O$4,$N$1:$N$4,$C$5))*'Consumo M.S.'!G12,"")</f>
        <v>2.333333333333333</v>
      </c>
      <c r="D12" s="12">
        <f t="shared" si="0"/>
        <v>75</v>
      </c>
      <c r="E12" s="12">
        <f>'Consumo M.S.'!C12</f>
        <v>4</v>
      </c>
      <c r="F12" s="97" t="s">
        <v>35</v>
      </c>
      <c r="G12" s="31" t="str">
        <f t="shared" si="1"/>
        <v/>
      </c>
      <c r="H12" s="27" t="str">
        <f t="shared" si="2"/>
        <v/>
      </c>
    </row>
    <row r="13" spans="2:15" ht="15.75" x14ac:dyDescent="0.25">
      <c r="B13" s="37" t="s">
        <v>8</v>
      </c>
      <c r="C13" s="34">
        <f>IFERROR((SUMIFS($O$1:$O$4,$N$1:$N$4,$C$5))*'Consumo M.S.'!G13,"")</f>
        <v>1.25</v>
      </c>
      <c r="D13" s="12">
        <f t="shared" si="0"/>
        <v>75</v>
      </c>
      <c r="E13" s="12">
        <f>'Consumo M.S.'!C13</f>
        <v>8</v>
      </c>
      <c r="F13" s="97" t="s">
        <v>35</v>
      </c>
      <c r="G13" s="31" t="str">
        <f t="shared" si="1"/>
        <v/>
      </c>
      <c r="H13" s="27" t="str">
        <f t="shared" si="2"/>
        <v/>
      </c>
    </row>
    <row r="14" spans="2:15" ht="15.75" x14ac:dyDescent="0.25">
      <c r="B14" s="37" t="s">
        <v>9</v>
      </c>
      <c r="C14" s="34" t="str">
        <f>IFERROR((SUMIFS($O$1:$O$4,$N$1:$N$4,$C$5))*'Consumo M.S.'!G14,"")</f>
        <v/>
      </c>
      <c r="D14" s="12">
        <f t="shared" si="0"/>
        <v>75</v>
      </c>
      <c r="E14" s="12" t="str">
        <f>'Consumo M.S.'!C14</f>
        <v/>
      </c>
      <c r="F14" s="97" t="s">
        <v>35</v>
      </c>
      <c r="G14" s="31" t="str">
        <f t="shared" si="1"/>
        <v/>
      </c>
      <c r="H14" s="27" t="str">
        <f t="shared" si="2"/>
        <v/>
      </c>
    </row>
    <row r="15" spans="2:15" ht="15.75" x14ac:dyDescent="0.25">
      <c r="B15" s="37" t="s">
        <v>10</v>
      </c>
      <c r="C15" s="34" t="str">
        <f>IFERROR((SUMIFS($O$1:$O$4,$N$1:$N$4,$C$5))*'Consumo M.S.'!G15,"")</f>
        <v/>
      </c>
      <c r="D15" s="12">
        <f t="shared" si="0"/>
        <v>75</v>
      </c>
      <c r="E15" s="12" t="str">
        <f>'Consumo M.S.'!C15</f>
        <v/>
      </c>
      <c r="F15" s="97" t="s">
        <v>35</v>
      </c>
      <c r="G15" s="31" t="str">
        <f t="shared" si="1"/>
        <v/>
      </c>
      <c r="H15" s="27" t="str">
        <f t="shared" si="2"/>
        <v/>
      </c>
    </row>
    <row r="16" spans="2:15" ht="15.75" x14ac:dyDescent="0.25">
      <c r="B16" s="37" t="s">
        <v>11</v>
      </c>
      <c r="C16" s="34">
        <f>IFERROR((SUMIFS($O$1:$O$4,$N$1:$N$4,$C$5))*'Consumo M.S.'!G16,"")</f>
        <v>4.583333333333333</v>
      </c>
      <c r="D16" s="12">
        <f t="shared" si="0"/>
        <v>75</v>
      </c>
      <c r="E16" s="12">
        <f>'Consumo M.S.'!C16</f>
        <v>1</v>
      </c>
      <c r="F16" s="97" t="s">
        <v>35</v>
      </c>
      <c r="G16" s="31" t="str">
        <f t="shared" si="1"/>
        <v/>
      </c>
      <c r="H16" s="27" t="str">
        <f t="shared" si="2"/>
        <v/>
      </c>
    </row>
    <row r="17" spans="2:8" ht="16.5" thickBot="1" x14ac:dyDescent="0.3">
      <c r="B17" s="38" t="s">
        <v>12</v>
      </c>
      <c r="C17" s="35" t="str">
        <f>IFERROR((SUMIFS($O$1:$O$4,$N$1:$N$4,$C$5))*'Consumo M.S.'!G17,"")</f>
        <v/>
      </c>
      <c r="D17" s="13">
        <f t="shared" si="0"/>
        <v>75</v>
      </c>
      <c r="E17" s="13" t="str">
        <f>'Consumo M.S.'!C17</f>
        <v/>
      </c>
      <c r="F17" s="98" t="s">
        <v>35</v>
      </c>
      <c r="G17" s="32" t="str">
        <f t="shared" si="1"/>
        <v/>
      </c>
      <c r="H17" s="28" t="str">
        <f t="shared" si="2"/>
        <v/>
      </c>
    </row>
    <row r="18" spans="2:8" ht="15.75" thickBot="1" x14ac:dyDescent="0.3">
      <c r="G18" s="24">
        <f>SUM(G9:G17)</f>
        <v>6937.5</v>
      </c>
      <c r="H18" s="29">
        <f>SUM(H9:H17)</f>
        <v>8671.875</v>
      </c>
    </row>
    <row r="19" spans="2:8" ht="6.75" customHeight="1" thickBot="1" x14ac:dyDescent="0.3"/>
    <row r="20" spans="2:8" x14ac:dyDescent="0.25">
      <c r="B20" s="119" t="str">
        <f>"Se sugiere sembrar "&amp;TEXT(H18/10000,"###.###,#")&amp;" Hectáreas de "&amp;B3</f>
        <v>Se sugiere sembrar ,9 Hectáreas de NABOS</v>
      </c>
      <c r="C20" s="120"/>
      <c r="D20" s="121"/>
      <c r="F20" s="125" t="str">
        <f>"Ingrese la cantidad de hectáreas que sembrará de "&amp;B3</f>
        <v>Ingrese la cantidad de hectáreas que sembrará de NABOS</v>
      </c>
      <c r="G20" s="126"/>
      <c r="H20" s="129">
        <v>1</v>
      </c>
    </row>
    <row r="21" spans="2:8" ht="28.5" customHeight="1" thickBot="1" x14ac:dyDescent="0.3">
      <c r="B21" s="122"/>
      <c r="C21" s="123"/>
      <c r="D21" s="124"/>
      <c r="F21" s="127"/>
      <c r="G21" s="128"/>
      <c r="H21" s="130"/>
    </row>
    <row r="22" spans="2:8" x14ac:dyDescent="0.25"/>
  </sheetData>
  <sheetProtection password="A04D" sheet="1" objects="1" scenarios="1"/>
  <mergeCells count="10">
    <mergeCell ref="B20:D21"/>
    <mergeCell ref="F20:G21"/>
    <mergeCell ref="H20:H21"/>
    <mergeCell ref="B2:G2"/>
    <mergeCell ref="B3:G3"/>
    <mergeCell ref="B7:B8"/>
    <mergeCell ref="C7:C8"/>
    <mergeCell ref="E7:E8"/>
    <mergeCell ref="F7:F8"/>
    <mergeCell ref="G7:G8"/>
  </mergeCells>
  <dataValidations count="3">
    <dataValidation type="list" allowBlank="1" showInputMessage="1" showErrorMessage="1" sqref="C5">
      <formula1>$N$1:$N$4</formula1>
    </dataValidation>
    <dataValidation type="list" allowBlank="1" showInputMessage="1" showErrorMessage="1" sqref="D8">
      <formula1>$N$6:$N$7</formula1>
    </dataValidation>
    <dataValidation type="list" allowBlank="1" showInputMessage="1" showErrorMessage="1" sqref="F9:F17">
      <formula1>$N$9:$N$10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J6" sqref="J6:K7 D8"/>
    </sheetView>
  </sheetViews>
  <sheetFormatPr baseColWidth="10" defaultColWidth="0" defaultRowHeight="0" customHeight="1" zeroHeight="1" x14ac:dyDescent="0.25"/>
  <cols>
    <col min="1" max="1" width="3.5703125" customWidth="1"/>
    <col min="2" max="2" width="23.7109375" customWidth="1"/>
    <col min="3" max="3" width="14.7109375" customWidth="1"/>
    <col min="4" max="4" width="10.85546875" customWidth="1"/>
    <col min="5" max="5" width="9.7109375" customWidth="1"/>
    <col min="6" max="6" width="12.28515625" customWidth="1"/>
    <col min="7" max="7" width="14.7109375" customWidth="1"/>
    <col min="8" max="8" width="18.140625" customWidth="1"/>
    <col min="9" max="9" width="3.5703125" customWidth="1"/>
    <col min="10" max="16384" width="11.42578125" hidden="1"/>
  </cols>
  <sheetData>
    <row r="1" spans="2:11" ht="15" x14ac:dyDescent="0.25">
      <c r="J1" s="21" t="s">
        <v>39</v>
      </c>
    </row>
    <row r="2" spans="2:11" ht="21" x14ac:dyDescent="0.35">
      <c r="B2" s="131" t="s">
        <v>27</v>
      </c>
      <c r="C2" s="131"/>
      <c r="D2" s="131"/>
      <c r="E2" s="131"/>
      <c r="F2" s="131"/>
      <c r="G2" s="131"/>
      <c r="J2" s="21" t="s">
        <v>24</v>
      </c>
      <c r="K2">
        <f>1/3</f>
        <v>0.33333333333333331</v>
      </c>
    </row>
    <row r="3" spans="2:11" ht="18.75" x14ac:dyDescent="0.3">
      <c r="B3" s="132" t="s">
        <v>38</v>
      </c>
      <c r="C3" s="132"/>
      <c r="D3" s="132"/>
      <c r="E3" s="132"/>
      <c r="F3" s="132"/>
      <c r="G3" s="132"/>
      <c r="J3" s="21" t="s">
        <v>25</v>
      </c>
      <c r="K3">
        <f>1/2</f>
        <v>0.5</v>
      </c>
    </row>
    <row r="4" spans="2:11" ht="9.75" customHeight="1" x14ac:dyDescent="0.25">
      <c r="J4" s="21" t="s">
        <v>26</v>
      </c>
      <c r="K4">
        <f>2/3</f>
        <v>0.66666666666666663</v>
      </c>
    </row>
    <row r="5" spans="2:11" ht="15" x14ac:dyDescent="0.25">
      <c r="B5" t="s">
        <v>29</v>
      </c>
      <c r="C5" s="94" t="s">
        <v>24</v>
      </c>
    </row>
    <row r="6" spans="2:11" ht="6.75" customHeight="1" thickBot="1" x14ac:dyDescent="0.3">
      <c r="J6" s="22" t="s">
        <v>40</v>
      </c>
      <c r="K6">
        <v>123</v>
      </c>
    </row>
    <row r="7" spans="2:11" ht="30" customHeight="1" x14ac:dyDescent="0.25">
      <c r="B7" s="133" t="s">
        <v>2</v>
      </c>
      <c r="C7" s="135" t="s">
        <v>30</v>
      </c>
      <c r="D7" s="23" t="s">
        <v>31</v>
      </c>
      <c r="E7" s="137" t="s">
        <v>18</v>
      </c>
      <c r="F7" s="139" t="str">
        <f>"CATEGORIAS A SUPLIR CON "&amp;B3</f>
        <v>CATEGORIAS A SUPLIR CON COLES</v>
      </c>
      <c r="G7" s="133" t="s">
        <v>36</v>
      </c>
      <c r="H7" s="25" t="s">
        <v>37</v>
      </c>
      <c r="J7" s="22" t="s">
        <v>41</v>
      </c>
      <c r="K7">
        <v>150</v>
      </c>
    </row>
    <row r="8" spans="2:11" ht="33.75" customHeight="1" thickBot="1" x14ac:dyDescent="0.3">
      <c r="B8" s="134"/>
      <c r="C8" s="136"/>
      <c r="D8" s="95" t="s">
        <v>40</v>
      </c>
      <c r="E8" s="138"/>
      <c r="F8" s="140"/>
      <c r="G8" s="134"/>
      <c r="H8" s="99">
        <v>0.75</v>
      </c>
    </row>
    <row r="9" spans="2:11" ht="15.75" x14ac:dyDescent="0.25">
      <c r="B9" s="36" t="s">
        <v>4</v>
      </c>
      <c r="C9" s="33">
        <f>IFERROR((SUMIFS($K$1:$K$4,$J$1:$J$4,$C$5))*'Consumo M.S.'!G9,"")</f>
        <v>5</v>
      </c>
      <c r="D9" s="11">
        <f t="shared" ref="D9:D17" si="0">SUMIFS($K$6:$K$7,$J$6:$J$7,$D$8)</f>
        <v>123</v>
      </c>
      <c r="E9" s="11">
        <f>'Consumo M.S.'!C9</f>
        <v>17</v>
      </c>
      <c r="F9" s="96" t="s">
        <v>34</v>
      </c>
      <c r="G9" s="30">
        <f>IFERROR(IF(F9="Si",C9*D9*E9,""),"")</f>
        <v>10455</v>
      </c>
      <c r="H9" s="26">
        <f>IF(G9="","",G9/$H$8)</f>
        <v>13940</v>
      </c>
      <c r="J9" t="s">
        <v>34</v>
      </c>
    </row>
    <row r="10" spans="2:11" ht="15.75" x14ac:dyDescent="0.25">
      <c r="B10" s="37" t="s">
        <v>5</v>
      </c>
      <c r="C10" s="34">
        <f>IFERROR((SUMIFS($K$1:$K$4,$J$1:$J$4,$C$5))*'Consumo M.S.'!G10,"")</f>
        <v>3.333333333333333</v>
      </c>
      <c r="D10" s="12">
        <f t="shared" si="0"/>
        <v>123</v>
      </c>
      <c r="E10" s="12">
        <f>'Consumo M.S.'!C10</f>
        <v>6</v>
      </c>
      <c r="F10" s="97" t="s">
        <v>35</v>
      </c>
      <c r="G10" s="31" t="str">
        <f t="shared" ref="G10:G17" si="1">IFERROR(IF(F10="Si",C10*D10*E10,""),"")</f>
        <v/>
      </c>
      <c r="H10" s="27" t="str">
        <f t="shared" ref="H10:H17" si="2">IF(G10="","",G10/$H$8)</f>
        <v/>
      </c>
      <c r="J10" t="s">
        <v>35</v>
      </c>
    </row>
    <row r="11" spans="2:11" ht="15.75" x14ac:dyDescent="0.25">
      <c r="B11" s="37" t="s">
        <v>6</v>
      </c>
      <c r="C11" s="34">
        <f>IFERROR((SUMIFS($K$1:$K$4,$J$1:$J$4,$C$5))*'Consumo M.S.'!G11,"")</f>
        <v>2.5</v>
      </c>
      <c r="D11" s="12">
        <f t="shared" si="0"/>
        <v>123</v>
      </c>
      <c r="E11" s="12">
        <f>'Consumo M.S.'!C11</f>
        <v>3</v>
      </c>
      <c r="F11" s="97" t="s">
        <v>34</v>
      </c>
      <c r="G11" s="31">
        <f t="shared" si="1"/>
        <v>922.5</v>
      </c>
      <c r="H11" s="27">
        <f t="shared" si="2"/>
        <v>1230</v>
      </c>
    </row>
    <row r="12" spans="2:11" ht="15.75" x14ac:dyDescent="0.25">
      <c r="B12" s="37" t="s">
        <v>7</v>
      </c>
      <c r="C12" s="34">
        <f>IFERROR((SUMIFS($K$1:$K$4,$J$1:$J$4,$C$5))*'Consumo M.S.'!G12,"")</f>
        <v>2.333333333333333</v>
      </c>
      <c r="D12" s="12">
        <f t="shared" si="0"/>
        <v>123</v>
      </c>
      <c r="E12" s="12">
        <f>'Consumo M.S.'!C12</f>
        <v>4</v>
      </c>
      <c r="F12" s="97" t="s">
        <v>35</v>
      </c>
      <c r="G12" s="31" t="str">
        <f t="shared" si="1"/>
        <v/>
      </c>
      <c r="H12" s="27" t="str">
        <f t="shared" si="2"/>
        <v/>
      </c>
    </row>
    <row r="13" spans="2:11" ht="15.75" x14ac:dyDescent="0.25">
      <c r="B13" s="37" t="s">
        <v>8</v>
      </c>
      <c r="C13" s="34">
        <f>IFERROR((SUMIFS($K$1:$K$4,$J$1:$J$4,$C$5))*'Consumo M.S.'!G13,"")</f>
        <v>1.25</v>
      </c>
      <c r="D13" s="12">
        <f t="shared" si="0"/>
        <v>123</v>
      </c>
      <c r="E13" s="12">
        <f>'Consumo M.S.'!C13</f>
        <v>8</v>
      </c>
      <c r="F13" s="97" t="s">
        <v>35</v>
      </c>
      <c r="G13" s="31" t="str">
        <f t="shared" si="1"/>
        <v/>
      </c>
      <c r="H13" s="27" t="str">
        <f t="shared" si="2"/>
        <v/>
      </c>
    </row>
    <row r="14" spans="2:11" ht="15.75" x14ac:dyDescent="0.25">
      <c r="B14" s="37" t="s">
        <v>9</v>
      </c>
      <c r="C14" s="34" t="str">
        <f>IFERROR((SUMIFS($K$1:$K$4,$J$1:$J$4,$C$5))*'Consumo M.S.'!G14,"")</f>
        <v/>
      </c>
      <c r="D14" s="12">
        <f t="shared" si="0"/>
        <v>123</v>
      </c>
      <c r="E14" s="12" t="str">
        <f>'Consumo M.S.'!C14</f>
        <v/>
      </c>
      <c r="F14" s="97" t="s">
        <v>35</v>
      </c>
      <c r="G14" s="31" t="str">
        <f t="shared" si="1"/>
        <v/>
      </c>
      <c r="H14" s="27" t="str">
        <f t="shared" si="2"/>
        <v/>
      </c>
    </row>
    <row r="15" spans="2:11" ht="15.75" x14ac:dyDescent="0.25">
      <c r="B15" s="37" t="s">
        <v>10</v>
      </c>
      <c r="C15" s="34" t="str">
        <f>IFERROR((SUMIFS($K$1:$K$4,$J$1:$J$4,$C$5))*'Consumo M.S.'!G15,"")</f>
        <v/>
      </c>
      <c r="D15" s="12">
        <f t="shared" si="0"/>
        <v>123</v>
      </c>
      <c r="E15" s="12" t="str">
        <f>'Consumo M.S.'!C15</f>
        <v/>
      </c>
      <c r="F15" s="97" t="s">
        <v>35</v>
      </c>
      <c r="G15" s="31" t="str">
        <f t="shared" si="1"/>
        <v/>
      </c>
      <c r="H15" s="27" t="str">
        <f t="shared" si="2"/>
        <v/>
      </c>
    </row>
    <row r="16" spans="2:11" ht="15.75" x14ac:dyDescent="0.25">
      <c r="B16" s="37" t="s">
        <v>11</v>
      </c>
      <c r="C16" s="34">
        <f>IFERROR((SUMIFS($K$1:$K$4,$J$1:$J$4,$C$5))*'Consumo M.S.'!G16,"")</f>
        <v>4.583333333333333</v>
      </c>
      <c r="D16" s="12">
        <f t="shared" si="0"/>
        <v>123</v>
      </c>
      <c r="E16" s="12">
        <f>'Consumo M.S.'!C16</f>
        <v>1</v>
      </c>
      <c r="F16" s="97" t="s">
        <v>34</v>
      </c>
      <c r="G16" s="31">
        <f t="shared" si="1"/>
        <v>563.75</v>
      </c>
      <c r="H16" s="27">
        <f t="shared" si="2"/>
        <v>751.66666666666663</v>
      </c>
    </row>
    <row r="17" spans="2:8" ht="16.5" thickBot="1" x14ac:dyDescent="0.3">
      <c r="B17" s="38" t="s">
        <v>12</v>
      </c>
      <c r="C17" s="35" t="str">
        <f>IFERROR((SUMIFS($K$1:$K$4,$J$1:$J$4,$C$5))*'Consumo M.S.'!G17,"")</f>
        <v/>
      </c>
      <c r="D17" s="13">
        <f t="shared" si="0"/>
        <v>123</v>
      </c>
      <c r="E17" s="13" t="str">
        <f>'Consumo M.S.'!C17</f>
        <v/>
      </c>
      <c r="F17" s="98" t="s">
        <v>35</v>
      </c>
      <c r="G17" s="32" t="str">
        <f t="shared" si="1"/>
        <v/>
      </c>
      <c r="H17" s="28" t="str">
        <f t="shared" si="2"/>
        <v/>
      </c>
    </row>
    <row r="18" spans="2:8" ht="15.75" thickBot="1" x14ac:dyDescent="0.3">
      <c r="G18" s="24">
        <f>SUM(G9:G17)</f>
        <v>11941.25</v>
      </c>
      <c r="H18" s="29">
        <f>SUM(H9:H17)</f>
        <v>15921.666666666666</v>
      </c>
    </row>
    <row r="19" spans="2:8" ht="6.75" customHeight="1" thickBot="1" x14ac:dyDescent="0.3"/>
    <row r="20" spans="2:8" ht="15" x14ac:dyDescent="0.25">
      <c r="B20" s="119" t="str">
        <f>"Se sugiere sembrar "&amp;TEXT(H18/10000,"###.###,#")&amp;" Hectáreas de "&amp;B3</f>
        <v>Se sugiere sembrar 1,6 Hectáreas de COLES</v>
      </c>
      <c r="C20" s="120"/>
      <c r="D20" s="121"/>
      <c r="F20" s="125" t="str">
        <f>"Ingrese la cantidad de hectáreas que sembrará de "&amp;B3</f>
        <v>Ingrese la cantidad de hectáreas que sembrará de COLES</v>
      </c>
      <c r="G20" s="126"/>
      <c r="H20" s="129">
        <v>2</v>
      </c>
    </row>
    <row r="21" spans="2:8" ht="28.5" customHeight="1" thickBot="1" x14ac:dyDescent="0.3">
      <c r="B21" s="122"/>
      <c r="C21" s="123"/>
      <c r="D21" s="124"/>
      <c r="F21" s="127"/>
      <c r="G21" s="128"/>
      <c r="H21" s="130"/>
    </row>
    <row r="22" spans="2:8" ht="15" x14ac:dyDescent="0.25"/>
  </sheetData>
  <sheetProtection password="A04D" sheet="1" objects="1" scenarios="1"/>
  <mergeCells count="10">
    <mergeCell ref="B20:D21"/>
    <mergeCell ref="F20:G21"/>
    <mergeCell ref="H20:H21"/>
    <mergeCell ref="B2:G2"/>
    <mergeCell ref="B3:G3"/>
    <mergeCell ref="B7:B8"/>
    <mergeCell ref="C7:C8"/>
    <mergeCell ref="E7:E8"/>
    <mergeCell ref="F7:F8"/>
    <mergeCell ref="G7:G8"/>
  </mergeCells>
  <dataValidations count="3">
    <dataValidation type="list" allowBlank="1" showInputMessage="1" showErrorMessage="1" sqref="F9:F17">
      <formula1>$J$9:$J$10</formula1>
    </dataValidation>
    <dataValidation type="list" allowBlank="1" showInputMessage="1" showErrorMessage="1" sqref="D8">
      <formula1>$J$6:$J$7</formula1>
    </dataValidation>
    <dataValidation type="list" allowBlank="1" showInputMessage="1" showErrorMessage="1" sqref="C5">
      <formula1>$J$1:$J$4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75" zoomScaleNormal="75" workbookViewId="0">
      <selection activeCell="D6" sqref="D6"/>
    </sheetView>
  </sheetViews>
  <sheetFormatPr baseColWidth="10" defaultColWidth="0" defaultRowHeight="15" zeroHeight="1" x14ac:dyDescent="0.25"/>
  <cols>
    <col min="1" max="1" width="3.5703125" customWidth="1"/>
    <col min="2" max="2" width="40.85546875" bestFit="1" customWidth="1"/>
    <col min="3" max="3" width="16.5703125" bestFit="1" customWidth="1"/>
    <col min="4" max="4" width="16.7109375" bestFit="1" customWidth="1"/>
    <col min="5" max="5" width="15.5703125" customWidth="1"/>
    <col min="6" max="6" width="14" customWidth="1"/>
    <col min="7" max="7" width="14.85546875" customWidth="1"/>
    <col min="8" max="8" width="3.5703125" customWidth="1"/>
    <col min="9" max="16384" width="11.42578125" hidden="1"/>
  </cols>
  <sheetData>
    <row r="1" spans="2:12" x14ac:dyDescent="0.25">
      <c r="K1" s="22" t="s">
        <v>64</v>
      </c>
      <c r="L1" s="22">
        <v>0</v>
      </c>
    </row>
    <row r="2" spans="2:12" ht="34.5" customHeight="1" x14ac:dyDescent="0.25">
      <c r="B2" s="115" t="s">
        <v>42</v>
      </c>
      <c r="C2" s="115"/>
      <c r="D2" s="115"/>
      <c r="E2" s="115"/>
      <c r="F2" s="115"/>
      <c r="K2" s="22" t="s">
        <v>65</v>
      </c>
      <c r="L2" s="22">
        <v>1</v>
      </c>
    </row>
    <row r="3" spans="2:12" ht="27" customHeight="1" thickBot="1" x14ac:dyDescent="0.3">
      <c r="K3" s="22" t="s">
        <v>66</v>
      </c>
      <c r="L3" s="22">
        <v>1.5</v>
      </c>
    </row>
    <row r="4" spans="2:12" ht="48.75" customHeight="1" thickBot="1" x14ac:dyDescent="0.3">
      <c r="B4" s="48" t="s">
        <v>43</v>
      </c>
      <c r="C4" s="49" t="s">
        <v>44</v>
      </c>
      <c r="D4" s="49" t="s">
        <v>45</v>
      </c>
      <c r="E4" s="49" t="s">
        <v>46</v>
      </c>
      <c r="F4" s="49" t="s">
        <v>47</v>
      </c>
      <c r="G4" s="50" t="s">
        <v>48</v>
      </c>
      <c r="K4" s="22" t="s">
        <v>67</v>
      </c>
      <c r="L4" s="22">
        <v>2</v>
      </c>
    </row>
    <row r="5" spans="2:12" ht="18.75" x14ac:dyDescent="0.3">
      <c r="B5" s="46" t="s">
        <v>49</v>
      </c>
      <c r="C5" s="47" t="s">
        <v>55</v>
      </c>
      <c r="D5" s="51">
        <v>12000</v>
      </c>
      <c r="E5" s="100">
        <v>2</v>
      </c>
      <c r="F5" s="54">
        <v>0.8</v>
      </c>
      <c r="G5" s="67">
        <f>IF(E5="","",D5*E5*F5)</f>
        <v>19200</v>
      </c>
      <c r="K5" s="22" t="s">
        <v>68</v>
      </c>
      <c r="L5" s="22">
        <v>3</v>
      </c>
    </row>
    <row r="6" spans="2:12" ht="18.75" x14ac:dyDescent="0.3">
      <c r="B6" s="41" t="s">
        <v>50</v>
      </c>
      <c r="C6" s="39" t="s">
        <v>56</v>
      </c>
      <c r="D6" s="52">
        <v>10702</v>
      </c>
      <c r="E6" s="101"/>
      <c r="F6" s="56">
        <v>0.8</v>
      </c>
      <c r="G6" s="64" t="str">
        <f t="shared" ref="G6:G10" si="0">IF(E6="","",D6*E6*F6)</f>
        <v/>
      </c>
      <c r="K6" s="22" t="s">
        <v>69</v>
      </c>
      <c r="L6" s="22">
        <v>4</v>
      </c>
    </row>
    <row r="7" spans="2:12" ht="18.75" x14ac:dyDescent="0.3">
      <c r="B7" s="42" t="s">
        <v>61</v>
      </c>
      <c r="C7" s="39" t="s">
        <v>57</v>
      </c>
      <c r="D7" s="52">
        <v>8000</v>
      </c>
      <c r="E7" s="101">
        <v>7</v>
      </c>
      <c r="F7" s="56">
        <v>0.7</v>
      </c>
      <c r="G7" s="64">
        <f t="shared" si="0"/>
        <v>39200</v>
      </c>
    </row>
    <row r="8" spans="2:12" ht="18.75" x14ac:dyDescent="0.3">
      <c r="B8" s="42" t="s">
        <v>62</v>
      </c>
      <c r="C8" s="39" t="s">
        <v>58</v>
      </c>
      <c r="D8" s="52">
        <v>6000</v>
      </c>
      <c r="E8" s="101">
        <v>5</v>
      </c>
      <c r="F8" s="56">
        <v>0.6</v>
      </c>
      <c r="G8" s="64">
        <f t="shared" si="0"/>
        <v>18000</v>
      </c>
      <c r="K8" s="22" t="s">
        <v>74</v>
      </c>
      <c r="L8" s="22">
        <v>0</v>
      </c>
    </row>
    <row r="9" spans="2:12" ht="18.75" x14ac:dyDescent="0.3">
      <c r="B9" s="43" t="s">
        <v>53</v>
      </c>
      <c r="C9" s="39" t="s">
        <v>59</v>
      </c>
      <c r="D9" s="52">
        <v>10000</v>
      </c>
      <c r="E9" s="55">
        <f>NABOS!H20</f>
        <v>1</v>
      </c>
      <c r="F9" s="56">
        <f>NABOS!H8</f>
        <v>0.8</v>
      </c>
      <c r="G9" s="64">
        <f t="shared" si="0"/>
        <v>8000</v>
      </c>
      <c r="K9" s="22" t="s">
        <v>65</v>
      </c>
      <c r="L9" s="22">
        <v>1</v>
      </c>
    </row>
    <row r="10" spans="2:12" ht="19.5" thickBot="1" x14ac:dyDescent="0.35">
      <c r="B10" s="44" t="s">
        <v>54</v>
      </c>
      <c r="C10" s="45" t="s">
        <v>60</v>
      </c>
      <c r="D10" s="53">
        <v>10000</v>
      </c>
      <c r="E10" s="57">
        <f>COLES!H20</f>
        <v>2</v>
      </c>
      <c r="F10" s="58">
        <f>COLES!H8</f>
        <v>0.75</v>
      </c>
      <c r="G10" s="65">
        <f t="shared" si="0"/>
        <v>15000</v>
      </c>
      <c r="K10" s="22" t="s">
        <v>75</v>
      </c>
      <c r="L10" s="22">
        <v>1.5</v>
      </c>
    </row>
    <row r="11" spans="2:12" ht="19.5" thickBot="1" x14ac:dyDescent="0.35">
      <c r="B11" s="68"/>
      <c r="C11" s="69"/>
      <c r="D11" s="70"/>
      <c r="E11" s="72">
        <f>SUM(E5:E10)</f>
        <v>17</v>
      </c>
      <c r="F11" s="71"/>
      <c r="G11" s="66">
        <f>SUM(G5:G10)</f>
        <v>99400</v>
      </c>
      <c r="K11" s="22"/>
      <c r="L11" s="22"/>
    </row>
    <row r="12" spans="2:12" ht="8.25" customHeight="1" x14ac:dyDescent="0.25">
      <c r="E12" s="40"/>
      <c r="K12" s="22" t="s">
        <v>67</v>
      </c>
      <c r="L12" s="22">
        <v>2</v>
      </c>
    </row>
    <row r="13" spans="2:12" ht="19.5" customHeight="1" x14ac:dyDescent="0.25">
      <c r="B13" s="141" t="str">
        <f>"El predio destina "&amp;TEXT(SUM(E5:E10),"###,#")&amp;" hectáreas a la producción de forrajes para alimentación animal"</f>
        <v>El predio destina 17, hectáreas a la producción de forrajes para alimentación animal</v>
      </c>
      <c r="C13" s="141"/>
      <c r="D13" s="141"/>
      <c r="E13" s="141"/>
      <c r="F13" s="141"/>
      <c r="G13" s="141"/>
      <c r="K13" s="22" t="s">
        <v>68</v>
      </c>
      <c r="L13" s="22">
        <v>3</v>
      </c>
    </row>
    <row r="14" spans="2:12" ht="6.75" customHeight="1" x14ac:dyDescent="0.25">
      <c r="K14" s="22" t="s">
        <v>69</v>
      </c>
      <c r="L14" s="22">
        <v>4</v>
      </c>
    </row>
    <row r="15" spans="2:12" ht="19.5" customHeight="1" x14ac:dyDescent="0.25">
      <c r="B15" s="141" t="str">
        <f>"En el predio se producen "&amp;TEXT(SUM(G5:G10),"###.###,##")&amp;" kilogramos de M.S. al año"</f>
        <v>En el predio se producen 99.400, kilogramos de M.S. al año</v>
      </c>
      <c r="C15" s="141"/>
      <c r="D15" s="141"/>
      <c r="E15" s="141"/>
      <c r="F15" s="141"/>
      <c r="G15" s="141"/>
      <c r="K15" s="22" t="s">
        <v>76</v>
      </c>
      <c r="L15" s="22">
        <v>5</v>
      </c>
    </row>
    <row r="16" spans="2:12" ht="6.75" customHeight="1" x14ac:dyDescent="0.25"/>
    <row r="17" spans="2:12" ht="21" x14ac:dyDescent="0.25">
      <c r="B17" s="115" t="s">
        <v>63</v>
      </c>
      <c r="C17" s="115"/>
      <c r="D17" s="115"/>
      <c r="E17" s="115"/>
      <c r="F17" s="115"/>
    </row>
    <row r="18" spans="2:12" ht="9.75" customHeight="1" thickBot="1" x14ac:dyDescent="0.3">
      <c r="B18" s="5"/>
      <c r="C18" s="5"/>
      <c r="D18" s="5"/>
      <c r="E18" s="5"/>
      <c r="F18" s="5"/>
    </row>
    <row r="19" spans="2:12" ht="37.5" x14ac:dyDescent="0.25">
      <c r="B19" s="144" t="str">
        <f>"En el Predio hay (en promedio) "&amp;TEXT('Calculadora U.A.'!G7,"###.###,#")&amp;" Vacas mensuales en Ordeña"</f>
        <v>En el Predio hay (en promedio) 17, Vacas mensuales en Ordeña</v>
      </c>
      <c r="C19" s="60" t="s">
        <v>72</v>
      </c>
      <c r="D19" s="60" t="s">
        <v>73</v>
      </c>
      <c r="E19" s="60" t="s">
        <v>77</v>
      </c>
      <c r="F19" s="60" t="s">
        <v>83</v>
      </c>
      <c r="G19" s="61" t="s">
        <v>84</v>
      </c>
      <c r="K19" s="22" t="s">
        <v>78</v>
      </c>
      <c r="L19" s="59">
        <f>6*30</f>
        <v>180</v>
      </c>
    </row>
    <row r="20" spans="2:12" ht="18.75" x14ac:dyDescent="0.3">
      <c r="B20" s="145"/>
      <c r="C20" s="39" t="s">
        <v>70</v>
      </c>
      <c r="D20" s="102" t="s">
        <v>67</v>
      </c>
      <c r="E20" s="142" t="s">
        <v>82</v>
      </c>
      <c r="F20" s="62">
        <v>0.9</v>
      </c>
      <c r="G20" s="64">
        <f>SUMIFS($L$1:$L$6,$K$1:$K$6,D20)*SUMIFS(L19:L23,K19:K23,E20)*'Calculadora U.A.'!G7*F20</f>
        <v>9180</v>
      </c>
      <c r="K20" s="22" t="s">
        <v>79</v>
      </c>
      <c r="L20" s="59">
        <f>7*30</f>
        <v>210</v>
      </c>
    </row>
    <row r="21" spans="2:12" ht="19.5" thickBot="1" x14ac:dyDescent="0.35">
      <c r="B21" s="146"/>
      <c r="C21" s="45" t="s">
        <v>71</v>
      </c>
      <c r="D21" s="103" t="s">
        <v>74</v>
      </c>
      <c r="E21" s="143"/>
      <c r="F21" s="63">
        <v>0.871</v>
      </c>
      <c r="G21" s="65">
        <f>SUMIFS($L$8:$L$15,$K$8:$K$15,D21)*SUMIFS(L19:L23,K19:K23,E20)*'Calculadora U.A.'!G7*F21</f>
        <v>0</v>
      </c>
      <c r="K21" s="22" t="s">
        <v>80</v>
      </c>
      <c r="L21" s="59">
        <f>8*30</f>
        <v>240</v>
      </c>
    </row>
    <row r="22" spans="2:12" ht="19.5" thickBot="1" x14ac:dyDescent="0.3">
      <c r="G22" s="66">
        <f>SUM(G20:G21)</f>
        <v>9180</v>
      </c>
      <c r="K22" s="22" t="s">
        <v>81</v>
      </c>
      <c r="L22" s="59">
        <f>9*30</f>
        <v>270</v>
      </c>
    </row>
    <row r="23" spans="2:12" x14ac:dyDescent="0.25">
      <c r="K23" s="22" t="s">
        <v>82</v>
      </c>
      <c r="L23" s="59">
        <f>10*30</f>
        <v>300</v>
      </c>
    </row>
    <row r="24" spans="2:12" ht="19.5" customHeight="1" x14ac:dyDescent="0.25">
      <c r="B24" s="141" t="str">
        <f>"En total se dispone de "&amp;TEXT(G22+G11,"###.###,#")&amp;" Kg. de M.S. anuales"</f>
        <v>En total se dispone de 108.580, Kg. de M.S. anuales</v>
      </c>
      <c r="C24" s="141"/>
      <c r="D24" s="141"/>
      <c r="E24" s="141"/>
      <c r="F24" s="141"/>
      <c r="G24" s="141"/>
    </row>
    <row r="25" spans="2:12" x14ac:dyDescent="0.25"/>
  </sheetData>
  <sheetProtection password="A04D" sheet="1" objects="1" scenarios="1"/>
  <mergeCells count="7">
    <mergeCell ref="B24:G24"/>
    <mergeCell ref="B13:G13"/>
    <mergeCell ref="B15:G15"/>
    <mergeCell ref="B2:F2"/>
    <mergeCell ref="B17:F17"/>
    <mergeCell ref="E20:E21"/>
    <mergeCell ref="B19:B21"/>
  </mergeCells>
  <dataValidations count="3">
    <dataValidation type="list" allowBlank="1" showInputMessage="1" showErrorMessage="1" sqref="D20">
      <formula1>$K$1:$K$6</formula1>
    </dataValidation>
    <dataValidation type="list" allowBlank="1" showInputMessage="1" showErrorMessage="1" sqref="D21">
      <formula1>$K$8:$K$15</formula1>
    </dataValidation>
    <dataValidation type="list" allowBlank="1" showInputMessage="1" showErrorMessage="1" sqref="E20">
      <formula1>$K$19:$K$23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="90" zoomScaleNormal="90" workbookViewId="0">
      <selection activeCell="E20" sqref="E20"/>
    </sheetView>
  </sheetViews>
  <sheetFormatPr baseColWidth="10" defaultColWidth="0" defaultRowHeight="15" zeroHeight="1" x14ac:dyDescent="0.25"/>
  <cols>
    <col min="1" max="1" width="4" customWidth="1"/>
    <col min="2" max="2" width="15.42578125" customWidth="1"/>
    <col min="3" max="3" width="16.140625" customWidth="1"/>
    <col min="4" max="4" width="16.7109375" customWidth="1"/>
    <col min="5" max="5" width="12.7109375" customWidth="1"/>
    <col min="6" max="6" width="4" customWidth="1"/>
    <col min="7" max="12" width="0" hidden="1" customWidth="1"/>
    <col min="13" max="16384" width="11.42578125" hidden="1"/>
  </cols>
  <sheetData>
    <row r="1" spans="2:12" x14ac:dyDescent="0.25"/>
    <row r="2" spans="2:12" ht="45" customHeight="1" x14ac:dyDescent="0.35">
      <c r="B2" s="113" t="s">
        <v>85</v>
      </c>
      <c r="C2" s="113"/>
      <c r="D2" s="113"/>
    </row>
    <row r="3" spans="2:12" ht="15.75" thickBot="1" x14ac:dyDescent="0.3"/>
    <row r="4" spans="2:12" x14ac:dyDescent="0.25">
      <c r="B4" s="152" t="s">
        <v>86</v>
      </c>
      <c r="C4" s="153"/>
      <c r="D4" s="153"/>
      <c r="E4" s="154"/>
    </row>
    <row r="5" spans="2:12" x14ac:dyDescent="0.25">
      <c r="B5" s="148" t="s">
        <v>87</v>
      </c>
      <c r="C5" s="149"/>
      <c r="D5" s="149"/>
      <c r="E5" s="76">
        <f>'Disp. Praderas y Concentrados'!G11</f>
        <v>99400</v>
      </c>
    </row>
    <row r="6" spans="2:12" x14ac:dyDescent="0.25">
      <c r="B6" s="148" t="s">
        <v>88</v>
      </c>
      <c r="C6" s="149"/>
      <c r="D6" s="149"/>
      <c r="E6" s="76">
        <f>'Disp. Praderas y Concentrados'!G22</f>
        <v>9180</v>
      </c>
    </row>
    <row r="7" spans="2:12" ht="15.75" thickBot="1" x14ac:dyDescent="0.3">
      <c r="B7" s="150" t="s">
        <v>89</v>
      </c>
      <c r="C7" s="151"/>
      <c r="D7" s="151"/>
      <c r="E7" s="77">
        <f>SUM(E5:E6)</f>
        <v>108580</v>
      </c>
    </row>
    <row r="8" spans="2:12" ht="15.75" thickBot="1" x14ac:dyDescent="0.3"/>
    <row r="9" spans="2:12" x14ac:dyDescent="0.25">
      <c r="B9" s="155" t="s">
        <v>90</v>
      </c>
      <c r="C9" s="137"/>
      <c r="D9" s="137"/>
      <c r="E9" s="156"/>
    </row>
    <row r="10" spans="2:12" ht="15.75" thickBot="1" x14ac:dyDescent="0.3">
      <c r="B10" s="150" t="s">
        <v>91</v>
      </c>
      <c r="C10" s="151"/>
      <c r="D10" s="151"/>
      <c r="E10" s="77">
        <f>'Consumo M.S.'!H18</f>
        <v>149376.25</v>
      </c>
    </row>
    <row r="11" spans="2:12" ht="15.75" thickBot="1" x14ac:dyDescent="0.3"/>
    <row r="12" spans="2:12" ht="19.5" thickBot="1" x14ac:dyDescent="0.35">
      <c r="B12" s="157" t="s">
        <v>92</v>
      </c>
      <c r="C12" s="158"/>
      <c r="D12" s="158"/>
      <c r="E12" s="78">
        <f>E7-E10</f>
        <v>-40796.25</v>
      </c>
    </row>
    <row r="13" spans="2:12" x14ac:dyDescent="0.25"/>
    <row r="14" spans="2:12" x14ac:dyDescent="0.25">
      <c r="B14" s="141" t="str">
        <f>IF(E12&lt;0,"En el predio faltan "&amp;TEXT(ABS(E12),"###.###")&amp;" Kilos de Materia Seca","En el predio hay un excedente de "&amp;TEXT(E12,"###.###")&amp;" kilos de Materia Seca")</f>
        <v>En el predio faltan 40.796 Kilos de Materia Seca</v>
      </c>
      <c r="C14" s="141"/>
      <c r="D14" s="141"/>
      <c r="E14" s="141"/>
      <c r="I14" s="22" t="s">
        <v>100</v>
      </c>
      <c r="J14" s="74">
        <f>550*25%</f>
        <v>137.5</v>
      </c>
      <c r="L14">
        <f>ABS((E12/SUMIFS($J$14:$J$16,$I$14:$I$16,D17))*C17)</f>
        <v>44.504999999999995</v>
      </c>
    </row>
    <row r="15" spans="2:12" ht="15.75" thickBot="1" x14ac:dyDescent="0.3">
      <c r="I15" s="22" t="s">
        <v>101</v>
      </c>
      <c r="J15" s="74">
        <f>30%*515</f>
        <v>154.5</v>
      </c>
      <c r="L15">
        <f>ABS((E12/SUMIFS($J$18:$J$19,$I$18:$I$19,D18))*C18)</f>
        <v>1535.8588235294119</v>
      </c>
    </row>
    <row r="16" spans="2:12" ht="30.75" thickBot="1" x14ac:dyDescent="0.3">
      <c r="B16" s="48" t="s">
        <v>93</v>
      </c>
      <c r="C16" s="82" t="s">
        <v>94</v>
      </c>
      <c r="D16" s="87" t="s">
        <v>105</v>
      </c>
      <c r="E16" s="83" t="s">
        <v>95</v>
      </c>
      <c r="I16" s="22" t="s">
        <v>102</v>
      </c>
      <c r="J16" s="59">
        <f>35%*480</f>
        <v>168</v>
      </c>
      <c r="L16">
        <f>D19/50</f>
        <v>36.716625000000001</v>
      </c>
    </row>
    <row r="17" spans="2:12" x14ac:dyDescent="0.25">
      <c r="B17" s="81" t="s">
        <v>96</v>
      </c>
      <c r="C17" s="104">
        <v>0.15</v>
      </c>
      <c r="D17" s="107" t="s">
        <v>100</v>
      </c>
      <c r="E17" s="84" t="str">
        <f>IF(C17="","",TEXT(ABS((E12/SUMIFS($J$14:$J$16,$I$14:$I$16,D17))*C17),"###.###")&amp;" Bolos")</f>
        <v>45 Bolos</v>
      </c>
      <c r="L17" t="e">
        <f>D20/50</f>
        <v>#VALUE!</v>
      </c>
    </row>
    <row r="18" spans="2:12" x14ac:dyDescent="0.25">
      <c r="B18" s="79" t="s">
        <v>97</v>
      </c>
      <c r="C18" s="105">
        <v>0.8</v>
      </c>
      <c r="D18" s="108" t="s">
        <v>103</v>
      </c>
      <c r="E18" s="85" t="str">
        <f>IF(C18="","",TEXT(ABS((E12/SUMIFS($J$18:$J$19,$I$18:$I$19,D18))*C18),"###.###")&amp;" Fardos")</f>
        <v>1.536 Fardos</v>
      </c>
      <c r="I18" s="75" t="s">
        <v>103</v>
      </c>
      <c r="J18" s="59">
        <f>25*0.85</f>
        <v>21.25</v>
      </c>
    </row>
    <row r="19" spans="2:12" x14ac:dyDescent="0.25">
      <c r="B19" s="79" t="s">
        <v>98</v>
      </c>
      <c r="C19" s="105">
        <v>0.05</v>
      </c>
      <c r="D19" s="88">
        <f>IF(E12*C19*'Disp. Praderas y Concentrados'!F20*-1=0,"",E12*C19*'Disp. Praderas y Concentrados'!F20*-1)</f>
        <v>1835.83125</v>
      </c>
      <c r="E19" s="85" t="str">
        <f>IF(C19="","",TEXT(D19/50,"###.###")&amp;" Sacos")</f>
        <v>37 Sacos</v>
      </c>
      <c r="I19" s="75" t="s">
        <v>104</v>
      </c>
      <c r="J19" s="59">
        <f>30*0.85</f>
        <v>25.5</v>
      </c>
      <c r="L19">
        <f>SUMIFS($J$18:$J$19,$I$18:$I$19,D18)</f>
        <v>21.25</v>
      </c>
    </row>
    <row r="20" spans="2:12" ht="15.75" thickBot="1" x14ac:dyDescent="0.3">
      <c r="B20" s="80" t="s">
        <v>99</v>
      </c>
      <c r="C20" s="106"/>
      <c r="D20" s="89" t="str">
        <f>IF(E12*C20*'Disp. Praderas y Concentrados'!F21*-1=0,"",E12*C20*'Disp. Praderas y Concentrados'!F21*-1)</f>
        <v/>
      </c>
      <c r="E20" s="86" t="str">
        <f>IF(C20="","",TEXT(D20/50,"###.###")&amp;" Sacos")</f>
        <v/>
      </c>
    </row>
    <row r="21" spans="2:12" x14ac:dyDescent="0.25">
      <c r="B21" s="147" t="str">
        <f>IF(SUM(C17:C20)=1,"100 %",IF(SUM(C17:C20)&gt;1,"Debe reducir en un "&amp;(TEXT((SUM(C17:C20)-1)*100,"###,#")&amp;"%")&amp;" algún valor","Deberá aumentar en un "&amp;TEXT(ABS(SUM(C17:C20)-1)*100,"###,###")&amp;" % algún valor"))</f>
        <v>100 %</v>
      </c>
      <c r="C21" s="147"/>
      <c r="D21" s="73"/>
    </row>
    <row r="22" spans="2:12" x14ac:dyDescent="0.25">
      <c r="B22" s="147"/>
      <c r="C22" s="147"/>
      <c r="E22" s="109"/>
    </row>
    <row r="23" spans="2:12" x14ac:dyDescent="0.25"/>
  </sheetData>
  <sheetProtection password="A04D" sheet="1" objects="1" scenarios="1"/>
  <mergeCells count="10">
    <mergeCell ref="B21:C22"/>
    <mergeCell ref="B2:D2"/>
    <mergeCell ref="B14:E14"/>
    <mergeCell ref="B5:D5"/>
    <mergeCell ref="B6:D6"/>
    <mergeCell ref="B7:D7"/>
    <mergeCell ref="B4:E4"/>
    <mergeCell ref="B9:E9"/>
    <mergeCell ref="B10:D10"/>
    <mergeCell ref="B12:D12"/>
  </mergeCells>
  <dataValidations count="2">
    <dataValidation type="list" allowBlank="1" showInputMessage="1" showErrorMessage="1" sqref="D17">
      <formula1>$I$14:$I$16</formula1>
    </dataValidation>
    <dataValidation type="list" allowBlank="1" showInputMessage="1" showErrorMessage="1" sqref="D18">
      <formula1>$I$18:$I$19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8"/>
  <sheetViews>
    <sheetView zoomScale="60" zoomScaleNormal="60" workbookViewId="0">
      <selection activeCell="K68" sqref="K68"/>
    </sheetView>
  </sheetViews>
  <sheetFormatPr baseColWidth="10" defaultColWidth="0" defaultRowHeight="15" zeroHeight="1" x14ac:dyDescent="0.25"/>
  <cols>
    <col min="1" max="1" width="2.5703125" style="162" customWidth="1"/>
    <col min="2" max="2" width="29" style="162" customWidth="1"/>
    <col min="3" max="3" width="24.140625" style="162" customWidth="1"/>
    <col min="4" max="4" width="15.28515625" style="162" customWidth="1"/>
    <col min="5" max="5" width="19.42578125" style="162" customWidth="1"/>
    <col min="6" max="6" width="18.42578125" style="162" customWidth="1"/>
    <col min="7" max="7" width="17" style="162" customWidth="1"/>
    <col min="8" max="8" width="17.7109375" style="162" customWidth="1"/>
    <col min="9" max="9" width="20.7109375" style="162" customWidth="1"/>
    <col min="10" max="10" width="17.28515625" style="162" customWidth="1"/>
    <col min="11" max="11" width="8.85546875" style="162" customWidth="1"/>
    <col min="12" max="12" width="11.42578125" style="162" customWidth="1"/>
    <col min="13" max="20" width="11.42578125" style="162" hidden="1" customWidth="1"/>
    <col min="21" max="21" width="6.85546875" style="162" hidden="1" customWidth="1"/>
    <col min="22" max="24" width="0" style="162" hidden="1" customWidth="1"/>
    <col min="25" max="16384" width="11.42578125" style="162" hidden="1"/>
  </cols>
  <sheetData>
    <row r="1" spans="1:21" ht="18.75" x14ac:dyDescent="0.3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ht="18.75" x14ac:dyDescent="0.3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1" ht="28.5" x14ac:dyDescent="0.45">
      <c r="A3" s="183"/>
      <c r="B3" s="184" t="s">
        <v>106</v>
      </c>
      <c r="C3" s="184"/>
      <c r="D3" s="184"/>
      <c r="E3" s="184"/>
      <c r="F3" s="184"/>
      <c r="G3" s="184"/>
      <c r="H3" s="184"/>
      <c r="I3" s="184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1:21" ht="18.75" x14ac:dyDescent="0.3">
      <c r="A4" s="183"/>
      <c r="B4" s="185" t="s">
        <v>107</v>
      </c>
      <c r="C4" s="185"/>
      <c r="D4" s="185"/>
      <c r="E4" s="185"/>
      <c r="F4" s="185"/>
      <c r="G4" s="185"/>
      <c r="H4" s="185"/>
      <c r="I4" s="185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1:21" ht="18.75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</row>
    <row r="6" spans="1:21" ht="18.75" x14ac:dyDescent="0.3">
      <c r="A6" s="183"/>
      <c r="B6" s="186" t="s">
        <v>108</v>
      </c>
      <c r="C6" s="159"/>
      <c r="D6" s="159"/>
      <c r="E6" s="159"/>
      <c r="F6" s="159"/>
      <c r="G6" s="186" t="s">
        <v>109</v>
      </c>
      <c r="H6" s="160"/>
      <c r="I6" s="161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ht="18.75" x14ac:dyDescent="0.3">
      <c r="A7" s="183"/>
      <c r="B7" s="186" t="s">
        <v>110</v>
      </c>
      <c r="C7" s="159"/>
      <c r="D7" s="159"/>
      <c r="E7" s="159"/>
      <c r="F7" s="159"/>
      <c r="G7" s="186" t="s">
        <v>111</v>
      </c>
      <c r="H7" s="160"/>
      <c r="I7" s="161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ht="18.75" x14ac:dyDescent="0.3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1" ht="18.75" x14ac:dyDescent="0.3">
      <c r="A9" s="183"/>
      <c r="B9" s="187"/>
      <c r="C9" s="187"/>
      <c r="D9" s="187"/>
      <c r="E9" s="187"/>
      <c r="F9" s="187"/>
      <c r="G9" s="187"/>
      <c r="H9" s="187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</row>
    <row r="10" spans="1:21" ht="19.5" thickBot="1" x14ac:dyDescent="0.35">
      <c r="A10" s="183"/>
      <c r="B10" s="188" t="s">
        <v>112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</row>
    <row r="11" spans="1:21" ht="19.5" thickBot="1" x14ac:dyDescent="0.35">
      <c r="A11" s="183"/>
      <c r="B11" s="183"/>
      <c r="C11" s="189" t="s">
        <v>113</v>
      </c>
      <c r="D11" s="190" t="s">
        <v>114</v>
      </c>
      <c r="E11" s="191" t="s">
        <v>115</v>
      </c>
      <c r="F11" s="192" t="s">
        <v>3</v>
      </c>
      <c r="G11" s="193" t="s">
        <v>116</v>
      </c>
      <c r="H11" s="194" t="s">
        <v>117</v>
      </c>
      <c r="I11" s="195" t="s">
        <v>118</v>
      </c>
      <c r="J11" s="196" t="s">
        <v>119</v>
      </c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</row>
    <row r="12" spans="1:21" ht="18.75" x14ac:dyDescent="0.3">
      <c r="A12" s="183"/>
      <c r="B12" s="183"/>
      <c r="C12" s="197" t="s">
        <v>120</v>
      </c>
      <c r="D12" s="198">
        <f>IFERROR(AVERAGE(G12:J12),"")</f>
        <v>17</v>
      </c>
      <c r="E12" s="199">
        <f>IF('Calculadora U.A.'!H7="","",'Calculadora U.A.'!H7)</f>
        <v>500</v>
      </c>
      <c r="F12" s="200">
        <f>IF('Calculadora U.A.'!I7=0,"",'Calculadora U.A.'!I7)</f>
        <v>17</v>
      </c>
      <c r="G12" s="201">
        <f>IF('Calculadora U.A.'!C7=0,"",'Calculadora U.A.'!C7)</f>
        <v>15</v>
      </c>
      <c r="H12" s="202">
        <f>IF('Calculadora U.A.'!D7=0,"",'Calculadora U.A.'!D7)</f>
        <v>9</v>
      </c>
      <c r="I12" s="203">
        <f>IF('Calculadora U.A.'!E7=0,"",'Calculadora U.A.'!E7)</f>
        <v>22</v>
      </c>
      <c r="J12" s="204">
        <f>IF('Calculadora U.A.'!F7=0,"",'Calculadora U.A.'!F7)</f>
        <v>22</v>
      </c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</row>
    <row r="13" spans="1:21" ht="18.75" x14ac:dyDescent="0.3">
      <c r="A13" s="183"/>
      <c r="B13" s="183"/>
      <c r="C13" s="205" t="s">
        <v>5</v>
      </c>
      <c r="D13" s="198">
        <f t="shared" ref="D13:D20" si="0">IFERROR(AVERAGE(G13:J13),"")</f>
        <v>6</v>
      </c>
      <c r="E13" s="199">
        <f>IF('Calculadora U.A.'!H8="","",'Calculadora U.A.'!H8)</f>
        <v>500</v>
      </c>
      <c r="F13" s="200">
        <f>IF('Calculadora U.A.'!I8=0,"",'Calculadora U.A.'!I8)</f>
        <v>6</v>
      </c>
      <c r="G13" s="206">
        <f>IF('Calculadora U.A.'!C8=0,"",'Calculadora U.A.'!C8)</f>
        <v>8</v>
      </c>
      <c r="H13" s="207">
        <f>IF('Calculadora U.A.'!D8=0,"",'Calculadora U.A.'!D8)</f>
        <v>14</v>
      </c>
      <c r="I13" s="208">
        <f>IF('Calculadora U.A.'!E8=0,"",'Calculadora U.A.'!E8)</f>
        <v>1</v>
      </c>
      <c r="J13" s="209">
        <f>IF('Calculadora U.A.'!F8=0,"",'Calculadora U.A.'!F8)</f>
        <v>1</v>
      </c>
      <c r="K13" s="183"/>
      <c r="L13" s="183"/>
      <c r="M13" s="188" t="s">
        <v>121</v>
      </c>
      <c r="N13" s="188"/>
      <c r="O13" s="188"/>
      <c r="P13" s="188"/>
      <c r="Q13" s="188"/>
      <c r="R13" s="183"/>
      <c r="S13" s="183"/>
      <c r="T13" s="183"/>
      <c r="U13" s="183"/>
    </row>
    <row r="14" spans="1:21" ht="18.75" x14ac:dyDescent="0.3">
      <c r="A14" s="183"/>
      <c r="B14" s="183"/>
      <c r="C14" s="205" t="s">
        <v>6</v>
      </c>
      <c r="D14" s="198">
        <f t="shared" si="0"/>
        <v>4.333333333333333</v>
      </c>
      <c r="E14" s="199">
        <f>IF('Calculadora U.A.'!H9="","",'Calculadora U.A.'!H9)</f>
        <v>300</v>
      </c>
      <c r="F14" s="200">
        <f>IF('Calculadora U.A.'!I9=0,"",'Calculadora U.A.'!I9)</f>
        <v>1.8</v>
      </c>
      <c r="G14" s="206">
        <f>IF('Calculadora U.A.'!C9=0,"",'Calculadora U.A.'!C9)</f>
        <v>5</v>
      </c>
      <c r="H14" s="207">
        <f>IF('Calculadora U.A.'!D9=0,"",'Calculadora U.A.'!D9)</f>
        <v>5</v>
      </c>
      <c r="I14" s="208">
        <f>IF('Calculadora U.A.'!E9=0,"",'Calculadora U.A.'!E9)</f>
        <v>3</v>
      </c>
      <c r="J14" s="209" t="str">
        <f>IF('Calculadora U.A.'!F9=0,"",'Calculadora U.A.'!F9)</f>
        <v/>
      </c>
      <c r="K14" s="183"/>
      <c r="L14" s="183"/>
      <c r="M14" s="188"/>
      <c r="N14" s="188"/>
      <c r="O14" s="188"/>
      <c r="P14" s="188"/>
      <c r="Q14" s="188"/>
      <c r="R14" s="183"/>
      <c r="S14" s="183"/>
      <c r="T14" s="183"/>
      <c r="U14" s="183"/>
    </row>
    <row r="15" spans="1:21" ht="18.75" x14ac:dyDescent="0.3">
      <c r="A15" s="183"/>
      <c r="B15" s="183"/>
      <c r="C15" s="205" t="s">
        <v>122</v>
      </c>
      <c r="D15" s="198">
        <f t="shared" si="0"/>
        <v>4</v>
      </c>
      <c r="E15" s="199">
        <f>IF('Calculadora U.A.'!H10="","",'Calculadora U.A.'!H10)</f>
        <v>280</v>
      </c>
      <c r="F15" s="200">
        <f>IF('Calculadora U.A.'!I10=0,"",'Calculadora U.A.'!I10)</f>
        <v>2.2400000000000002</v>
      </c>
      <c r="G15" s="206" t="str">
        <f>IF('Calculadora U.A.'!C10=0,"",'Calculadora U.A.'!C10)</f>
        <v/>
      </c>
      <c r="H15" s="207" t="str">
        <f>IF('Calculadora U.A.'!D10=0,"",'Calculadora U.A.'!D10)</f>
        <v/>
      </c>
      <c r="I15" s="208">
        <f>IF('Calculadora U.A.'!E10=0,"",'Calculadora U.A.'!E10)</f>
        <v>3</v>
      </c>
      <c r="J15" s="209">
        <f>IF('Calculadora U.A.'!F10=0,"",'Calculadora U.A.'!F10)</f>
        <v>5</v>
      </c>
      <c r="K15" s="183"/>
      <c r="L15" s="183"/>
      <c r="M15" s="210">
        <v>1</v>
      </c>
      <c r="N15" s="211">
        <v>1</v>
      </c>
      <c r="O15" s="211" t="s">
        <v>123</v>
      </c>
      <c r="P15" s="211">
        <v>12.5</v>
      </c>
      <c r="Q15" s="211">
        <v>15</v>
      </c>
      <c r="R15" s="183"/>
      <c r="S15" s="183"/>
      <c r="T15" s="183"/>
      <c r="U15" s="183"/>
    </row>
    <row r="16" spans="1:21" ht="18.75" x14ac:dyDescent="0.3">
      <c r="A16" s="183"/>
      <c r="B16" s="183"/>
      <c r="C16" s="205" t="s">
        <v>124</v>
      </c>
      <c r="D16" s="198">
        <f t="shared" si="0"/>
        <v>8</v>
      </c>
      <c r="E16" s="199">
        <f>IF('Calculadora U.A.'!H11="","",'Calculadora U.A.'!H11)</f>
        <v>150</v>
      </c>
      <c r="F16" s="200">
        <f>IF('Calculadora U.A.'!I11=0,"",'Calculadora U.A.'!I11)</f>
        <v>2.4</v>
      </c>
      <c r="G16" s="206" t="str">
        <f>IF('Calculadora U.A.'!C11=0,"",'Calculadora U.A.'!C11)</f>
        <v/>
      </c>
      <c r="H16" s="207" t="str">
        <f>IF('Calculadora U.A.'!D11=0,"",'Calculadora U.A.'!D11)</f>
        <v/>
      </c>
      <c r="I16" s="208">
        <f>IF('Calculadora U.A.'!E11=0,"",'Calculadora U.A.'!E11)</f>
        <v>8</v>
      </c>
      <c r="J16" s="209">
        <f>IF('Calculadora U.A.'!F11=0,"",'Calculadora U.A.'!F11)</f>
        <v>8</v>
      </c>
      <c r="K16" s="183"/>
      <c r="L16" s="183"/>
      <c r="M16" s="210"/>
      <c r="N16" s="211">
        <v>2</v>
      </c>
      <c r="O16" s="211" t="s">
        <v>125</v>
      </c>
      <c r="P16" s="211">
        <v>14</v>
      </c>
      <c r="Q16" s="211">
        <v>20</v>
      </c>
      <c r="R16" s="183"/>
      <c r="S16" s="183"/>
      <c r="T16" s="183"/>
      <c r="U16" s="183"/>
    </row>
    <row r="17" spans="1:21" ht="18.75" x14ac:dyDescent="0.3">
      <c r="A17" s="183"/>
      <c r="B17" s="183"/>
      <c r="C17" s="205" t="s">
        <v>126</v>
      </c>
      <c r="D17" s="198" t="str">
        <f t="shared" si="0"/>
        <v/>
      </c>
      <c r="E17" s="199">
        <f>IF('Calculadora U.A.'!H12="","",'Calculadora U.A.'!H12)</f>
        <v>300</v>
      </c>
      <c r="F17" s="200" t="str">
        <f>IF('Calculadora U.A.'!I12=0,"",'Calculadora U.A.'!I12)</f>
        <v/>
      </c>
      <c r="G17" s="206" t="str">
        <f>IF('Calculadora U.A.'!C12=0,"",'Calculadora U.A.'!C12)</f>
        <v/>
      </c>
      <c r="H17" s="207" t="str">
        <f>IF('Calculadora U.A.'!D12=0,"",'Calculadora U.A.'!D12)</f>
        <v/>
      </c>
      <c r="I17" s="208" t="str">
        <f>IF('Calculadora U.A.'!E12=0,"",'Calculadora U.A.'!E12)</f>
        <v/>
      </c>
      <c r="J17" s="209" t="str">
        <f>IF('Calculadora U.A.'!F12=0,"",'Calculadora U.A.'!F12)</f>
        <v/>
      </c>
      <c r="K17" s="183"/>
      <c r="L17" s="183"/>
      <c r="M17" s="210"/>
      <c r="N17" s="211">
        <v>3</v>
      </c>
      <c r="O17" s="211" t="s">
        <v>127</v>
      </c>
      <c r="P17" s="211">
        <v>16</v>
      </c>
      <c r="Q17" s="211">
        <v>25</v>
      </c>
      <c r="R17" s="183"/>
      <c r="S17" s="183"/>
      <c r="T17" s="183"/>
      <c r="U17" s="183"/>
    </row>
    <row r="18" spans="1:21" ht="18.75" x14ac:dyDescent="0.3">
      <c r="A18" s="183"/>
      <c r="B18" s="183"/>
      <c r="C18" s="205" t="s">
        <v>128</v>
      </c>
      <c r="D18" s="198" t="str">
        <f t="shared" si="0"/>
        <v/>
      </c>
      <c r="E18" s="199">
        <f>IF('Calculadora U.A.'!H13="","",'Calculadora U.A.'!H13)</f>
        <v>250</v>
      </c>
      <c r="F18" s="200" t="str">
        <f>IF('Calculadora U.A.'!I13=0,"",'Calculadora U.A.'!I13)</f>
        <v/>
      </c>
      <c r="G18" s="206" t="str">
        <f>IF('Calculadora U.A.'!C13=0,"",'Calculadora U.A.'!C13)</f>
        <v/>
      </c>
      <c r="H18" s="207" t="str">
        <f>IF('Calculadora U.A.'!D13=0,"",'Calculadora U.A.'!D13)</f>
        <v/>
      </c>
      <c r="I18" s="208" t="str">
        <f>IF('Calculadora U.A.'!E13=0,"",'Calculadora U.A.'!E13)</f>
        <v/>
      </c>
      <c r="J18" s="209" t="str">
        <f>IF('Calculadora U.A.'!F13=0,"",'Calculadora U.A.'!F13)</f>
        <v/>
      </c>
      <c r="K18" s="183"/>
      <c r="L18" s="183"/>
      <c r="M18" s="188"/>
      <c r="N18" s="188"/>
      <c r="O18" s="188"/>
      <c r="P18" s="188"/>
      <c r="Q18" s="188"/>
      <c r="R18" s="183"/>
      <c r="S18" s="183"/>
      <c r="T18" s="183"/>
      <c r="U18" s="183"/>
    </row>
    <row r="19" spans="1:21" ht="18.75" x14ac:dyDescent="0.3">
      <c r="A19" s="183"/>
      <c r="B19" s="183"/>
      <c r="C19" s="205" t="s">
        <v>129</v>
      </c>
      <c r="D19" s="198">
        <f t="shared" si="0"/>
        <v>1</v>
      </c>
      <c r="E19" s="199">
        <f>IF('Calculadora U.A.'!H14="","",'Calculadora U.A.'!H14)</f>
        <v>550</v>
      </c>
      <c r="F19" s="200">
        <f>IF('Calculadora U.A.'!I14=0,"",'Calculadora U.A.'!I14)</f>
        <v>1.1000000000000001</v>
      </c>
      <c r="G19" s="206">
        <f>IF('Calculadora U.A.'!C14=0,"",'Calculadora U.A.'!C14)</f>
        <v>1</v>
      </c>
      <c r="H19" s="207">
        <f>IF('Calculadora U.A.'!D14=0,"",'Calculadora U.A.'!D14)</f>
        <v>1</v>
      </c>
      <c r="I19" s="208">
        <f>IF('Calculadora U.A.'!E14=0,"",'Calculadora U.A.'!E14)</f>
        <v>1</v>
      </c>
      <c r="J19" s="209">
        <f>IF('Calculadora U.A.'!F14=0,"",'Calculadora U.A.'!F14)</f>
        <v>1</v>
      </c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</row>
    <row r="20" spans="1:21" ht="19.5" thickBot="1" x14ac:dyDescent="0.35">
      <c r="A20" s="183"/>
      <c r="B20" s="183"/>
      <c r="C20" s="212" t="s">
        <v>12</v>
      </c>
      <c r="D20" s="213" t="str">
        <f t="shared" si="0"/>
        <v/>
      </c>
      <c r="E20" s="214">
        <f>IF('Calculadora U.A.'!H15="","",'Calculadora U.A.'!H15)</f>
        <v>750</v>
      </c>
      <c r="F20" s="215" t="str">
        <f>IF('Calculadora U.A.'!I15=0,"",'Calculadora U.A.'!I15)</f>
        <v/>
      </c>
      <c r="G20" s="216" t="str">
        <f>IF('Calculadora U.A.'!C15=0,"",'Calculadora U.A.'!C15)</f>
        <v/>
      </c>
      <c r="H20" s="217" t="str">
        <f>IF('Calculadora U.A.'!D15=0,"",'Calculadora U.A.'!D15)</f>
        <v/>
      </c>
      <c r="I20" s="218" t="str">
        <f>IF('Calculadora U.A.'!E15=0,"",'Calculadora U.A.'!E15)</f>
        <v/>
      </c>
      <c r="J20" s="219" t="str">
        <f>IF('Calculadora U.A.'!F15=0,"",'Calculadora U.A.'!F15)</f>
        <v/>
      </c>
      <c r="K20" s="183"/>
      <c r="L20" s="183"/>
      <c r="M20" s="183"/>
      <c r="N20" s="183"/>
      <c r="O20" s="183"/>
      <c r="P20" s="183"/>
      <c r="Q20" s="183"/>
      <c r="R20" s="183" t="s">
        <v>130</v>
      </c>
      <c r="S20" s="183"/>
      <c r="T20" s="183"/>
      <c r="U20" s="183"/>
    </row>
    <row r="21" spans="1:21" ht="19.5" thickBot="1" x14ac:dyDescent="0.35">
      <c r="A21" s="183"/>
      <c r="B21" s="188" t="s">
        <v>131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 t="s">
        <v>132</v>
      </c>
      <c r="Q21" s="183"/>
      <c r="R21" s="183">
        <v>12</v>
      </c>
      <c r="S21" s="183" t="s">
        <v>133</v>
      </c>
      <c r="T21" s="183"/>
      <c r="U21" s="183"/>
    </row>
    <row r="22" spans="1:21" ht="18.75" x14ac:dyDescent="0.3">
      <c r="A22" s="183"/>
      <c r="B22" s="183"/>
      <c r="C22" s="371" t="s">
        <v>113</v>
      </c>
      <c r="D22" s="373" t="s">
        <v>73</v>
      </c>
      <c r="E22" s="375" t="s">
        <v>204</v>
      </c>
      <c r="F22" s="377" t="s">
        <v>203</v>
      </c>
      <c r="G22" s="379" t="s">
        <v>116</v>
      </c>
      <c r="H22" s="381" t="s">
        <v>117</v>
      </c>
      <c r="I22" s="383" t="s">
        <v>118</v>
      </c>
      <c r="J22" s="385" t="s">
        <v>119</v>
      </c>
      <c r="K22" s="220"/>
      <c r="L22" s="183"/>
      <c r="M22" s="183"/>
      <c r="N22" s="183"/>
      <c r="O22" s="183"/>
      <c r="P22" s="183" t="s">
        <v>134</v>
      </c>
      <c r="Q22" s="183"/>
      <c r="R22" s="183">
        <v>14</v>
      </c>
      <c r="S22" s="183"/>
      <c r="T22" s="183"/>
      <c r="U22" s="183"/>
    </row>
    <row r="23" spans="1:21" ht="18.75" x14ac:dyDescent="0.3">
      <c r="A23" s="183"/>
      <c r="B23" s="183"/>
      <c r="C23" s="372"/>
      <c r="D23" s="374"/>
      <c r="E23" s="376"/>
      <c r="F23" s="378"/>
      <c r="G23" s="380"/>
      <c r="H23" s="382"/>
      <c r="I23" s="384"/>
      <c r="J23" s="386"/>
      <c r="K23" s="220"/>
      <c r="L23" s="183"/>
      <c r="M23" s="183"/>
      <c r="N23" s="183"/>
      <c r="O23" s="183"/>
      <c r="P23" s="183" t="s">
        <v>135</v>
      </c>
      <c r="Q23" s="183"/>
      <c r="R23" s="183">
        <v>16</v>
      </c>
      <c r="S23" s="183"/>
      <c r="T23" s="183"/>
      <c r="U23" s="183"/>
    </row>
    <row r="24" spans="1:21" ht="18.75" x14ac:dyDescent="0.3">
      <c r="A24" s="183"/>
      <c r="B24" s="183"/>
      <c r="C24" s="205" t="s">
        <v>120</v>
      </c>
      <c r="D24" s="221">
        <f>D12</f>
        <v>17</v>
      </c>
      <c r="E24" s="222">
        <f>'Consumo M.S.'!G9</f>
        <v>15</v>
      </c>
      <c r="F24" s="223">
        <f>IFERROR(D24*E24,"")</f>
        <v>255</v>
      </c>
      <c r="G24" s="224">
        <f>IFERROR(E24*G12*91,"")</f>
        <v>20475</v>
      </c>
      <c r="H24" s="225">
        <f>IFERROR(E24*H12*92,"")</f>
        <v>12420</v>
      </c>
      <c r="I24" s="226">
        <f>IFERROR(E24*I12*91,"")</f>
        <v>30030</v>
      </c>
      <c r="J24" s="227">
        <f>IFERROR(E24*J12*91,"")</f>
        <v>30030</v>
      </c>
      <c r="K24" s="220"/>
      <c r="L24" s="220"/>
      <c r="M24" s="220">
        <f>VLOOKUP(M15,N14:Q16,4,TRUE)</f>
        <v>15</v>
      </c>
      <c r="N24" s="183"/>
      <c r="O24" s="183"/>
      <c r="P24" s="183" t="s">
        <v>136</v>
      </c>
      <c r="Q24" s="183"/>
      <c r="R24" s="183"/>
      <c r="S24" s="183"/>
      <c r="T24" s="183"/>
      <c r="U24" s="183"/>
    </row>
    <row r="25" spans="1:21" ht="3" customHeight="1" x14ac:dyDescent="0.3">
      <c r="A25" s="188"/>
      <c r="B25" s="188"/>
      <c r="C25" s="228"/>
      <c r="D25" s="221"/>
      <c r="E25" s="221"/>
      <c r="F25" s="223"/>
      <c r="G25" s="224"/>
      <c r="H25" s="225"/>
      <c r="I25" s="226"/>
      <c r="J25" s="227"/>
      <c r="K25" s="229"/>
      <c r="L25" s="188"/>
      <c r="M25" s="188"/>
      <c r="N25" s="188"/>
      <c r="O25" s="188"/>
      <c r="P25" s="188" t="s">
        <v>137</v>
      </c>
      <c r="Q25" s="188"/>
      <c r="R25" s="188"/>
      <c r="S25" s="188"/>
      <c r="T25" s="188"/>
      <c r="U25" s="188"/>
    </row>
    <row r="26" spans="1:21" ht="18.75" x14ac:dyDescent="0.3">
      <c r="A26" s="188"/>
      <c r="B26" s="188"/>
      <c r="C26" s="205" t="s">
        <v>5</v>
      </c>
      <c r="D26" s="221">
        <f>D13</f>
        <v>6</v>
      </c>
      <c r="E26" s="230">
        <f>'Consumo M.S.'!G10</f>
        <v>10</v>
      </c>
      <c r="F26" s="223">
        <f>IFERROR(D26*E26,"")</f>
        <v>60</v>
      </c>
      <c r="G26" s="224">
        <f>IFERROR(E26*G13*91,"")</f>
        <v>7280</v>
      </c>
      <c r="H26" s="225">
        <f>IFERROR(E26*H13*92,"")</f>
        <v>12880</v>
      </c>
      <c r="I26" s="226">
        <f>IFERROR(E26*I13*91,"")</f>
        <v>910</v>
      </c>
      <c r="J26" s="227">
        <f>IFERROR(E26*J13*91,"")</f>
        <v>910</v>
      </c>
      <c r="K26" s="229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1" ht="3" customHeight="1" x14ac:dyDescent="0.3">
      <c r="A27" s="188"/>
      <c r="B27" s="188"/>
      <c r="C27" s="228"/>
      <c r="D27" s="221"/>
      <c r="E27" s="221"/>
      <c r="F27" s="223"/>
      <c r="G27" s="224"/>
      <c r="H27" s="225"/>
      <c r="I27" s="226"/>
      <c r="J27" s="227"/>
      <c r="K27" s="229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1" ht="18.75" x14ac:dyDescent="0.3">
      <c r="A28" s="183"/>
      <c r="B28" s="183"/>
      <c r="C28" s="205" t="s">
        <v>6</v>
      </c>
      <c r="D28" s="221">
        <f>+D14</f>
        <v>4.333333333333333</v>
      </c>
      <c r="E28" s="230">
        <f>+'Consumo M.S.'!G11</f>
        <v>7.5</v>
      </c>
      <c r="F28" s="223">
        <f>IFERROR(D28*E28,"")</f>
        <v>32.5</v>
      </c>
      <c r="G28" s="224">
        <f>IFERROR(E28*G14*91,"")</f>
        <v>3412.5</v>
      </c>
      <c r="H28" s="225">
        <f>IFERROR(E28*H14*92,"")</f>
        <v>3450</v>
      </c>
      <c r="I28" s="226">
        <f>IFERROR(E28*I14*91,"")</f>
        <v>2047.5</v>
      </c>
      <c r="J28" s="227" t="str">
        <f>IFERROR(E28*J14*91,"")</f>
        <v/>
      </c>
      <c r="K28" s="220"/>
      <c r="L28" s="183"/>
      <c r="M28" s="183"/>
      <c r="N28" s="183"/>
      <c r="O28" s="183"/>
      <c r="P28" s="183" t="s">
        <v>138</v>
      </c>
      <c r="Q28" s="183"/>
      <c r="R28" s="183"/>
      <c r="S28" s="183"/>
      <c r="T28" s="183"/>
      <c r="U28" s="183"/>
    </row>
    <row r="29" spans="1:21" ht="3" customHeight="1" x14ac:dyDescent="0.3">
      <c r="A29" s="188"/>
      <c r="B29" s="188"/>
      <c r="C29" s="228"/>
      <c r="D29" s="221"/>
      <c r="E29" s="221"/>
      <c r="F29" s="223"/>
      <c r="G29" s="224"/>
      <c r="H29" s="225"/>
      <c r="I29" s="226"/>
      <c r="J29" s="227"/>
      <c r="K29" s="229"/>
      <c r="L29" s="188"/>
      <c r="M29" s="188"/>
      <c r="N29" s="188"/>
      <c r="O29" s="188"/>
      <c r="P29" s="188" t="s">
        <v>139</v>
      </c>
      <c r="Q29" s="188"/>
      <c r="R29" s="188"/>
      <c r="S29" s="188"/>
      <c r="T29" s="188"/>
      <c r="U29" s="188"/>
    </row>
    <row r="30" spans="1:21" ht="18.75" x14ac:dyDescent="0.3">
      <c r="A30" s="188"/>
      <c r="B30" s="188"/>
      <c r="C30" s="205" t="s">
        <v>122</v>
      </c>
      <c r="D30" s="221">
        <f>+D15</f>
        <v>4</v>
      </c>
      <c r="E30" s="230">
        <f>+'Consumo M.S.'!G12</f>
        <v>7</v>
      </c>
      <c r="F30" s="223">
        <f>IFERROR(D30*E30,"")</f>
        <v>28</v>
      </c>
      <c r="G30" s="224" t="str">
        <f>IFERROR(E30*G15*91,"")</f>
        <v/>
      </c>
      <c r="H30" s="225" t="str">
        <f>IFERROR(E30*H15*92,"")</f>
        <v/>
      </c>
      <c r="I30" s="226">
        <f>IFERROR(E30*I15*91,"")</f>
        <v>1911</v>
      </c>
      <c r="J30" s="227">
        <f>IFERROR(E30*J15*91,"")</f>
        <v>3185</v>
      </c>
      <c r="K30" s="229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 ht="3" customHeight="1" x14ac:dyDescent="0.3">
      <c r="A31" s="188"/>
      <c r="B31" s="188"/>
      <c r="C31" s="228"/>
      <c r="D31" s="221"/>
      <c r="E31" s="230"/>
      <c r="F31" s="223"/>
      <c r="G31" s="224"/>
      <c r="H31" s="225"/>
      <c r="I31" s="226"/>
      <c r="J31" s="227"/>
      <c r="K31" s="229"/>
      <c r="L31" s="188"/>
      <c r="M31" s="188"/>
      <c r="N31" s="188"/>
      <c r="O31" s="188"/>
      <c r="P31" s="188">
        <f>305*14</f>
        <v>4270</v>
      </c>
      <c r="Q31" s="188"/>
      <c r="R31" s="188"/>
      <c r="S31" s="188"/>
      <c r="T31" s="188"/>
      <c r="U31" s="188"/>
    </row>
    <row r="32" spans="1:21" ht="18.75" x14ac:dyDescent="0.3">
      <c r="A32" s="188"/>
      <c r="B32" s="188"/>
      <c r="C32" s="205" t="s">
        <v>124</v>
      </c>
      <c r="D32" s="221">
        <f>+D16</f>
        <v>8</v>
      </c>
      <c r="E32" s="230">
        <f>+'Consumo M.S.'!G13</f>
        <v>3.75</v>
      </c>
      <c r="F32" s="223">
        <f>IFERROR(D32*E32,"")</f>
        <v>30</v>
      </c>
      <c r="G32" s="224" t="str">
        <f>IFERROR(E32*G16*91,"")</f>
        <v/>
      </c>
      <c r="H32" s="225" t="str">
        <f>IFERROR(E32*H16*92,"")</f>
        <v/>
      </c>
      <c r="I32" s="226">
        <f>IFERROR(E32*I16*91,"")</f>
        <v>2730</v>
      </c>
      <c r="J32" s="227">
        <f>IFERROR(E32*J16*91,"")</f>
        <v>2730</v>
      </c>
      <c r="K32" s="229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spans="1:21" ht="3" customHeight="1" x14ac:dyDescent="0.3">
      <c r="A33" s="188"/>
      <c r="B33" s="188"/>
      <c r="C33" s="228"/>
      <c r="D33" s="221"/>
      <c r="E33" s="230"/>
      <c r="F33" s="223"/>
      <c r="G33" s="224"/>
      <c r="H33" s="225"/>
      <c r="I33" s="226"/>
      <c r="J33" s="227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1" ht="18.75" x14ac:dyDescent="0.3">
      <c r="A34" s="188"/>
      <c r="B34" s="188"/>
      <c r="C34" s="205" t="s">
        <v>126</v>
      </c>
      <c r="D34" s="221" t="str">
        <f>+D17</f>
        <v/>
      </c>
      <c r="E34" s="230" t="str">
        <f>+'Consumo M.S.'!G14</f>
        <v/>
      </c>
      <c r="F34" s="223" t="str">
        <f>IFERROR(D34*E34,"")</f>
        <v/>
      </c>
      <c r="G34" s="224" t="str">
        <f>IFERROR(E34*G17*91,"")</f>
        <v/>
      </c>
      <c r="H34" s="225" t="str">
        <f>IFERROR(E34*H17*92,"")</f>
        <v/>
      </c>
      <c r="I34" s="226" t="str">
        <f>IFERROR(E34*I17*91,"")</f>
        <v/>
      </c>
      <c r="J34" s="227" t="str">
        <f>IFERROR(E34*J17*91,"")</f>
        <v/>
      </c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 ht="3" customHeight="1" x14ac:dyDescent="0.3">
      <c r="A35" s="188"/>
      <c r="B35" s="188"/>
      <c r="C35" s="228"/>
      <c r="D35" s="221"/>
      <c r="E35" s="230"/>
      <c r="F35" s="223"/>
      <c r="G35" s="224"/>
      <c r="H35" s="225"/>
      <c r="I35" s="226"/>
      <c r="J35" s="227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ht="18.75" x14ac:dyDescent="0.3">
      <c r="A36" s="188"/>
      <c r="B36" s="188"/>
      <c r="C36" s="205" t="s">
        <v>128</v>
      </c>
      <c r="D36" s="221" t="str">
        <f>+D18</f>
        <v/>
      </c>
      <c r="E36" s="230" t="str">
        <f>+'Consumo M.S.'!G15</f>
        <v/>
      </c>
      <c r="F36" s="223" t="str">
        <f>IFERROR(D36*E36,"")</f>
        <v/>
      </c>
      <c r="G36" s="224" t="str">
        <f>IFERROR(E36*G18*91,"")</f>
        <v/>
      </c>
      <c r="H36" s="225" t="str">
        <f>IFERROR(E36*H18*92,"")</f>
        <v/>
      </c>
      <c r="I36" s="226" t="str">
        <f>IFERROR(E36*I18*91,"")</f>
        <v/>
      </c>
      <c r="J36" s="227" t="str">
        <f>IFERROR(E36*J18*91,"")</f>
        <v/>
      </c>
      <c r="K36" s="229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1" ht="3" customHeight="1" x14ac:dyDescent="0.3">
      <c r="A37" s="188"/>
      <c r="B37" s="188"/>
      <c r="C37" s="228"/>
      <c r="D37" s="221"/>
      <c r="E37" s="230"/>
      <c r="F37" s="223"/>
      <c r="G37" s="224"/>
      <c r="H37" s="225"/>
      <c r="I37" s="226"/>
      <c r="J37" s="227"/>
      <c r="K37" s="229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 ht="18.75" x14ac:dyDescent="0.3">
      <c r="A38" s="183"/>
      <c r="B38" s="183"/>
      <c r="C38" s="205" t="s">
        <v>129</v>
      </c>
      <c r="D38" s="221">
        <f>+D19</f>
        <v>1</v>
      </c>
      <c r="E38" s="230">
        <f>+'Consumo M.S.'!G16</f>
        <v>13.75</v>
      </c>
      <c r="F38" s="223">
        <f>IFERROR(D38*E38,"")</f>
        <v>13.75</v>
      </c>
      <c r="G38" s="224">
        <f>IFERROR(E38*G19*91,"")</f>
        <v>1251.25</v>
      </c>
      <c r="H38" s="225">
        <f>IFERROR(E38*H19*92,"")</f>
        <v>1265</v>
      </c>
      <c r="I38" s="226">
        <f>IFERROR(E38*I19*91,"")</f>
        <v>1251.25</v>
      </c>
      <c r="J38" s="227">
        <f>IFERROR(E38*J19*91,"")</f>
        <v>1251.25</v>
      </c>
      <c r="K38" s="220"/>
      <c r="L38" s="183"/>
      <c r="M38" s="183"/>
      <c r="N38" s="183"/>
      <c r="O38" s="183"/>
      <c r="P38" s="183"/>
      <c r="Q38" s="183"/>
      <c r="R38" s="183"/>
      <c r="S38" s="183"/>
      <c r="T38" s="183"/>
      <c r="U38" s="183"/>
    </row>
    <row r="39" spans="1:21" ht="3" customHeight="1" x14ac:dyDescent="0.3">
      <c r="A39" s="231"/>
      <c r="B39" s="231"/>
      <c r="C39" s="228"/>
      <c r="D39" s="221"/>
      <c r="E39" s="230"/>
      <c r="F39" s="223"/>
      <c r="G39" s="224"/>
      <c r="H39" s="225"/>
      <c r="I39" s="226"/>
      <c r="J39" s="227"/>
      <c r="K39" s="232"/>
      <c r="L39" s="231"/>
      <c r="M39" s="231"/>
      <c r="N39" s="231"/>
      <c r="O39" s="231"/>
      <c r="P39" s="231"/>
      <c r="Q39" s="231"/>
      <c r="R39" s="231"/>
      <c r="S39" s="231"/>
      <c r="T39" s="231"/>
      <c r="U39" s="231"/>
    </row>
    <row r="40" spans="1:21" ht="18.75" x14ac:dyDescent="0.3">
      <c r="A40" s="183"/>
      <c r="B40" s="183"/>
      <c r="C40" s="205" t="s">
        <v>12</v>
      </c>
      <c r="D40" s="221" t="str">
        <f>+D20</f>
        <v/>
      </c>
      <c r="E40" s="230" t="str">
        <f>+'Consumo M.S.'!G17</f>
        <v/>
      </c>
      <c r="F40" s="223" t="str">
        <f>IFERROR(D40*E40,"")</f>
        <v/>
      </c>
      <c r="G40" s="224" t="str">
        <f>IFERROR(E40*G20*91,"")</f>
        <v/>
      </c>
      <c r="H40" s="225" t="str">
        <f>IFERROR(E40*H20*92,"")</f>
        <v/>
      </c>
      <c r="I40" s="226" t="str">
        <f>IFERROR(E40*I20*91,"")</f>
        <v/>
      </c>
      <c r="J40" s="227" t="str">
        <f>IFERROR(E40*J20*91,"")</f>
        <v/>
      </c>
      <c r="K40" s="220"/>
      <c r="L40" s="183"/>
      <c r="M40" s="183"/>
      <c r="N40" s="183"/>
      <c r="O40" s="183"/>
      <c r="P40" s="183"/>
      <c r="Q40" s="183"/>
      <c r="R40" s="183"/>
      <c r="S40" s="183"/>
      <c r="T40" s="183"/>
      <c r="U40" s="183"/>
    </row>
    <row r="41" spans="1:21" ht="3" customHeight="1" x14ac:dyDescent="0.3">
      <c r="A41" s="231"/>
      <c r="B41" s="231"/>
      <c r="C41" s="228"/>
      <c r="D41" s="221"/>
      <c r="E41" s="233"/>
      <c r="F41" s="234"/>
      <c r="G41" s="224"/>
      <c r="H41" s="225"/>
      <c r="I41" s="226"/>
      <c r="J41" s="227"/>
      <c r="K41" s="232"/>
      <c r="L41" s="231"/>
      <c r="M41" s="231"/>
      <c r="N41" s="231"/>
      <c r="O41" s="231"/>
      <c r="P41" s="231"/>
      <c r="Q41" s="231"/>
      <c r="R41" s="231"/>
      <c r="S41" s="231"/>
      <c r="T41" s="231"/>
      <c r="U41" s="231"/>
    </row>
    <row r="42" spans="1:21" ht="19.5" thickBot="1" x14ac:dyDescent="0.35">
      <c r="A42" s="183"/>
      <c r="B42" s="183"/>
      <c r="C42" s="212" t="s">
        <v>140</v>
      </c>
      <c r="D42" s="235"/>
      <c r="E42" s="236"/>
      <c r="F42" s="237"/>
      <c r="G42" s="238">
        <f>SUM(G23:G41)</f>
        <v>32418.75</v>
      </c>
      <c r="H42" s="239">
        <f>SUM(H23:H41)</f>
        <v>30015</v>
      </c>
      <c r="I42" s="240">
        <f>SUM(I23:I41)</f>
        <v>38879.75</v>
      </c>
      <c r="J42" s="241">
        <f>SUM(J23:J41)</f>
        <v>38106.25</v>
      </c>
      <c r="K42" s="220"/>
      <c r="L42" s="183"/>
      <c r="M42" s="183"/>
      <c r="N42" s="242">
        <v>1</v>
      </c>
      <c r="O42" s="242">
        <v>2</v>
      </c>
      <c r="P42" s="242">
        <v>3</v>
      </c>
      <c r="Q42" s="242">
        <v>4</v>
      </c>
      <c r="R42" s="242">
        <v>5</v>
      </c>
      <c r="S42" s="242">
        <v>6</v>
      </c>
      <c r="T42" s="242">
        <v>7</v>
      </c>
      <c r="U42" s="183"/>
    </row>
    <row r="43" spans="1:21" ht="19.5" thickBot="1" x14ac:dyDescent="0.35">
      <c r="A43" s="243"/>
      <c r="B43" s="243"/>
      <c r="C43" s="244"/>
      <c r="D43" s="245"/>
      <c r="E43" s="246"/>
      <c r="F43" s="247"/>
      <c r="G43" s="247"/>
      <c r="H43" s="248" t="s">
        <v>141</v>
      </c>
      <c r="I43" s="249"/>
      <c r="J43" s="250">
        <f>SUM(G42:J42)</f>
        <v>139419.75</v>
      </c>
      <c r="K43" s="251"/>
      <c r="L43" s="243"/>
      <c r="M43" s="243"/>
      <c r="N43" s="252"/>
      <c r="O43" s="252"/>
      <c r="P43" s="252"/>
      <c r="Q43" s="252"/>
      <c r="R43" s="252"/>
      <c r="S43" s="252"/>
      <c r="T43" s="252"/>
      <c r="U43" s="243"/>
    </row>
    <row r="44" spans="1:21" ht="19.5" thickBot="1" x14ac:dyDescent="0.35">
      <c r="A44" s="183"/>
      <c r="B44" s="188" t="s">
        <v>142</v>
      </c>
      <c r="C44" s="188"/>
      <c r="D44" s="183"/>
      <c r="E44" s="183"/>
      <c r="F44" s="183"/>
      <c r="G44" s="183"/>
      <c r="H44" s="183"/>
      <c r="I44" s="183"/>
      <c r="J44" s="183"/>
      <c r="K44" s="183"/>
      <c r="L44" s="183"/>
      <c r="M44" s="231" t="s">
        <v>70</v>
      </c>
      <c r="N44" s="183"/>
      <c r="O44" s="183"/>
      <c r="P44" s="183"/>
      <c r="Q44" s="253" t="s">
        <v>143</v>
      </c>
      <c r="R44" s="253" t="s">
        <v>60</v>
      </c>
      <c r="S44" s="253" t="s">
        <v>144</v>
      </c>
      <c r="T44" s="253" t="s">
        <v>59</v>
      </c>
      <c r="U44" s="183"/>
    </row>
    <row r="45" spans="1:21" ht="19.5" thickBot="1" x14ac:dyDescent="0.35">
      <c r="A45" s="183"/>
      <c r="B45" s="183"/>
      <c r="C45" s="183"/>
      <c r="D45" s="183"/>
      <c r="E45" s="254" t="s">
        <v>145</v>
      </c>
      <c r="F45" s="255" t="s">
        <v>140</v>
      </c>
      <c r="G45" s="256">
        <v>0.14000000000000001</v>
      </c>
      <c r="H45" s="257">
        <v>0.11</v>
      </c>
      <c r="I45" s="258">
        <v>0.49</v>
      </c>
      <c r="J45" s="259">
        <v>0.26</v>
      </c>
      <c r="K45" s="260"/>
      <c r="L45" s="183"/>
      <c r="M45" s="261">
        <v>2</v>
      </c>
      <c r="N45" s="261">
        <v>1</v>
      </c>
      <c r="O45" s="262" t="s">
        <v>64</v>
      </c>
      <c r="P45" s="263">
        <v>0</v>
      </c>
      <c r="Q45" s="261">
        <v>0</v>
      </c>
      <c r="R45" s="261">
        <v>0</v>
      </c>
      <c r="S45" s="261">
        <v>0</v>
      </c>
      <c r="T45" s="261">
        <v>0</v>
      </c>
      <c r="U45" s="183"/>
    </row>
    <row r="46" spans="1:21" ht="18.75" x14ac:dyDescent="0.3">
      <c r="A46" s="183"/>
      <c r="B46" s="264" t="s">
        <v>146</v>
      </c>
      <c r="C46" s="265" t="s">
        <v>196</v>
      </c>
      <c r="D46" s="266" t="s">
        <v>197</v>
      </c>
      <c r="E46" s="267" t="s">
        <v>198</v>
      </c>
      <c r="F46" s="267" t="s">
        <v>147</v>
      </c>
      <c r="G46" s="268" t="s">
        <v>116</v>
      </c>
      <c r="H46" s="269" t="s">
        <v>148</v>
      </c>
      <c r="I46" s="270" t="s">
        <v>149</v>
      </c>
      <c r="J46" s="271" t="s">
        <v>119</v>
      </c>
      <c r="K46" s="183"/>
      <c r="L46" s="183"/>
      <c r="M46" s="272"/>
      <c r="N46" s="261">
        <v>2</v>
      </c>
      <c r="O46" s="261" t="s">
        <v>65</v>
      </c>
      <c r="P46" s="263">
        <f>1*D12*305</f>
        <v>5185</v>
      </c>
      <c r="Q46" s="261">
        <f>+$P$46*0.25</f>
        <v>1296.25</v>
      </c>
      <c r="R46" s="261">
        <f t="shared" ref="R46:T46" si="1">+$P$46*0.25</f>
        <v>1296.25</v>
      </c>
      <c r="S46" s="261">
        <f t="shared" si="1"/>
        <v>1296.25</v>
      </c>
      <c r="T46" s="261">
        <f t="shared" si="1"/>
        <v>1296.25</v>
      </c>
      <c r="U46" s="183"/>
    </row>
    <row r="47" spans="1:21" ht="18.75" x14ac:dyDescent="0.3">
      <c r="A47" s="183"/>
      <c r="B47" s="273"/>
      <c r="C47" s="274" t="s">
        <v>195</v>
      </c>
      <c r="D47" s="275"/>
      <c r="E47" s="276"/>
      <c r="F47" s="276"/>
      <c r="G47" s="277"/>
      <c r="H47" s="278"/>
      <c r="I47" s="279"/>
      <c r="J47" s="280"/>
      <c r="K47" s="183"/>
      <c r="L47" s="183"/>
      <c r="M47" s="272"/>
      <c r="N47" s="261">
        <v>3</v>
      </c>
      <c r="O47" s="261" t="s">
        <v>67</v>
      </c>
      <c r="P47" s="263">
        <f>2*D12*305</f>
        <v>10370</v>
      </c>
      <c r="Q47" s="261">
        <f>+$P$47*0.25</f>
        <v>2592.5</v>
      </c>
      <c r="R47" s="261">
        <f>+$P$47*0.25</f>
        <v>2592.5</v>
      </c>
      <c r="S47" s="261">
        <f>+$P$47*0.25</f>
        <v>2592.5</v>
      </c>
      <c r="T47" s="261">
        <f>+$P$47*0.25</f>
        <v>2592.5</v>
      </c>
      <c r="U47" s="183"/>
    </row>
    <row r="48" spans="1:21" ht="18.75" x14ac:dyDescent="0.3">
      <c r="A48" s="183"/>
      <c r="B48" s="281" t="s">
        <v>150</v>
      </c>
      <c r="C48" s="223">
        <f>IF('Disp. Praderas y Concentrados'!D5=0,"",'Disp. Praderas y Concentrados'!D5)</f>
        <v>12000</v>
      </c>
      <c r="D48" s="282">
        <f>IF('Disp. Praderas y Concentrados'!E5=0,"",'Disp. Praderas y Concentrados'!E5)</f>
        <v>2</v>
      </c>
      <c r="E48" s="223">
        <f>C48*80%</f>
        <v>9600</v>
      </c>
      <c r="F48" s="223">
        <f>IF(D48="","",E48*D48)</f>
        <v>19200</v>
      </c>
      <c r="G48" s="283">
        <f>F48*G45</f>
        <v>2688.0000000000005</v>
      </c>
      <c r="H48" s="284">
        <f>F48*H45</f>
        <v>2112</v>
      </c>
      <c r="I48" s="285">
        <f>F48*I45</f>
        <v>9408</v>
      </c>
      <c r="J48" s="286">
        <f>F48*J45</f>
        <v>4992</v>
      </c>
      <c r="K48" s="183"/>
      <c r="L48" s="183"/>
      <c r="M48" s="272"/>
      <c r="N48" s="287">
        <v>4</v>
      </c>
      <c r="O48" s="261" t="s">
        <v>68</v>
      </c>
      <c r="P48" s="263">
        <f>3*D12*305</f>
        <v>15555</v>
      </c>
      <c r="Q48" s="261">
        <f>+$P$48*0.25</f>
        <v>3888.75</v>
      </c>
      <c r="R48" s="261">
        <f>+$P$48*0.25</f>
        <v>3888.75</v>
      </c>
      <c r="S48" s="261">
        <f>+$P$48*0.25</f>
        <v>3888.75</v>
      </c>
      <c r="T48" s="261">
        <f>+$P$48*0.25</f>
        <v>3888.75</v>
      </c>
      <c r="U48" s="183"/>
    </row>
    <row r="49" spans="1:21" ht="18.75" x14ac:dyDescent="0.3">
      <c r="A49" s="183"/>
      <c r="B49" s="281" t="s">
        <v>151</v>
      </c>
      <c r="C49" s="223">
        <f>IF('Disp. Praderas y Concentrados'!D6=0,"",'Disp. Praderas y Concentrados'!D6)</f>
        <v>10702</v>
      </c>
      <c r="D49" s="282" t="str">
        <f>IF('Disp. Praderas y Concentrados'!E6=0,"",'Disp. Praderas y Concentrados'!E6)</f>
        <v/>
      </c>
      <c r="E49" s="223">
        <f>C49*80%</f>
        <v>8561.6</v>
      </c>
      <c r="F49" s="223" t="str">
        <f t="shared" ref="F49:F55" si="2">IF(D49="","",E49*D49)</f>
        <v/>
      </c>
      <c r="G49" s="283" t="str">
        <f>IF(D49="","",F49*G45)</f>
        <v/>
      </c>
      <c r="H49" s="284" t="str">
        <f>IF(D49="","",F49*H45)</f>
        <v/>
      </c>
      <c r="I49" s="285" t="str">
        <f>IF(D49="","",F49*I45)</f>
        <v/>
      </c>
      <c r="J49" s="286" t="str">
        <f>IF(D49="","",F49*J45)</f>
        <v/>
      </c>
      <c r="K49" s="183"/>
      <c r="L49" s="183"/>
      <c r="M49" s="183"/>
      <c r="N49" s="287">
        <v>5</v>
      </c>
      <c r="O49" s="261" t="s">
        <v>69</v>
      </c>
      <c r="P49" s="263">
        <f>4*D12*305</f>
        <v>20740</v>
      </c>
      <c r="Q49" s="261">
        <f>+$P$49*0.25</f>
        <v>5185</v>
      </c>
      <c r="R49" s="261">
        <f>+$P$49*0.25</f>
        <v>5185</v>
      </c>
      <c r="S49" s="261">
        <f>+$P$49*0.25</f>
        <v>5185</v>
      </c>
      <c r="T49" s="261">
        <f>+$P$49*0.25</f>
        <v>5185</v>
      </c>
      <c r="U49" s="183"/>
    </row>
    <row r="50" spans="1:21" ht="18.75" x14ac:dyDescent="0.3">
      <c r="A50" s="183"/>
      <c r="B50" s="205" t="s">
        <v>51</v>
      </c>
      <c r="C50" s="223">
        <f>IF('Disp. Praderas y Concentrados'!D7=0,"",'Disp. Praderas y Concentrados'!D7)</f>
        <v>8000</v>
      </c>
      <c r="D50" s="282">
        <f>IF('Disp. Praderas y Concentrados'!E7=0,"",'Disp. Praderas y Concentrados'!E7)</f>
        <v>7</v>
      </c>
      <c r="E50" s="223">
        <f>C50*70%</f>
        <v>5600</v>
      </c>
      <c r="F50" s="223">
        <f t="shared" si="2"/>
        <v>39200</v>
      </c>
      <c r="G50" s="283">
        <f>F50*G45</f>
        <v>5488.0000000000009</v>
      </c>
      <c r="H50" s="284">
        <f>F50*H45</f>
        <v>4312</v>
      </c>
      <c r="I50" s="285">
        <f>F50*I45</f>
        <v>19208</v>
      </c>
      <c r="J50" s="286">
        <f>F50*J45</f>
        <v>10192</v>
      </c>
      <c r="K50" s="183"/>
      <c r="L50" s="183"/>
      <c r="M50" s="183"/>
      <c r="N50" s="287"/>
      <c r="O50" s="261"/>
      <c r="P50" s="263"/>
      <c r="Q50" s="261"/>
      <c r="R50" s="261"/>
      <c r="S50" s="261"/>
      <c r="T50" s="261"/>
      <c r="U50" s="183"/>
    </row>
    <row r="51" spans="1:21" ht="18.75" x14ac:dyDescent="0.3">
      <c r="A51" s="183"/>
      <c r="B51" s="205" t="s">
        <v>52</v>
      </c>
      <c r="C51" s="223">
        <f>IF('Disp. Praderas y Concentrados'!D8=0,"",'Disp. Praderas y Concentrados'!D8)</f>
        <v>6000</v>
      </c>
      <c r="D51" s="282">
        <f>IF('Disp. Praderas y Concentrados'!E8=0,"",'Disp. Praderas y Concentrados'!E8)</f>
        <v>5</v>
      </c>
      <c r="E51" s="223">
        <f>C51*60%</f>
        <v>3600</v>
      </c>
      <c r="F51" s="223">
        <f t="shared" si="2"/>
        <v>18000</v>
      </c>
      <c r="G51" s="283">
        <f>F51*G45</f>
        <v>2520.0000000000005</v>
      </c>
      <c r="H51" s="284">
        <f>F51*H45</f>
        <v>1980</v>
      </c>
      <c r="I51" s="285">
        <f>F51*I45</f>
        <v>8820</v>
      </c>
      <c r="J51" s="286">
        <f>F51*J45</f>
        <v>4680</v>
      </c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</row>
    <row r="52" spans="1:21" ht="18.75" x14ac:dyDescent="0.3">
      <c r="A52" s="183"/>
      <c r="B52" s="281" t="s">
        <v>152</v>
      </c>
      <c r="C52" s="223">
        <f>IF('Disp. Praderas y Concentrados'!D9=0,"",'Disp. Praderas y Concentrados'!D9)</f>
        <v>10000</v>
      </c>
      <c r="D52" s="282">
        <f>IF('Disp. Praderas y Concentrados'!E9=0,"",'Disp. Praderas y Concentrados'!E9)</f>
        <v>1</v>
      </c>
      <c r="E52" s="223">
        <f>C52*80%</f>
        <v>8000</v>
      </c>
      <c r="F52" s="223">
        <f t="shared" si="2"/>
        <v>8000</v>
      </c>
      <c r="G52" s="283"/>
      <c r="H52" s="284"/>
      <c r="I52" s="285"/>
      <c r="J52" s="286">
        <f>F52</f>
        <v>8000</v>
      </c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</row>
    <row r="53" spans="1:21" ht="18.75" x14ac:dyDescent="0.3">
      <c r="A53" s="183"/>
      <c r="B53" s="281" t="s">
        <v>153</v>
      </c>
      <c r="C53" s="223">
        <f>IF('Disp. Praderas y Concentrados'!D10=0,"",'Disp. Praderas y Concentrados'!D10)</f>
        <v>10000</v>
      </c>
      <c r="D53" s="282">
        <f>IF('Disp. Praderas y Concentrados'!E10=0,"",'Disp. Praderas y Concentrados'!E10)</f>
        <v>2</v>
      </c>
      <c r="E53" s="223">
        <f>C53*80%</f>
        <v>8000</v>
      </c>
      <c r="F53" s="223">
        <f t="shared" si="2"/>
        <v>16000</v>
      </c>
      <c r="G53" s="283"/>
      <c r="H53" s="284">
        <f>F53</f>
        <v>16000</v>
      </c>
      <c r="I53" s="285"/>
      <c r="J53" s="286"/>
      <c r="K53" s="183"/>
      <c r="L53" s="183"/>
      <c r="M53" s="231" t="s">
        <v>71</v>
      </c>
      <c r="N53" s="183"/>
      <c r="O53" s="183"/>
      <c r="P53" s="183"/>
      <c r="Q53" s="253" t="s">
        <v>143</v>
      </c>
      <c r="R53" s="253" t="s">
        <v>60</v>
      </c>
      <c r="S53" s="253" t="s">
        <v>144</v>
      </c>
      <c r="T53" s="253" t="s">
        <v>59</v>
      </c>
      <c r="U53" s="183"/>
    </row>
    <row r="54" spans="1:21" ht="18.75" x14ac:dyDescent="0.3">
      <c r="A54" s="183"/>
      <c r="B54" s="281" t="s">
        <v>154</v>
      </c>
      <c r="C54" s="223">
        <f>IF('Disp. Praderas y Concentrados'!G20=0,"",'Disp. Praderas y Concentrados'!G20)</f>
        <v>9180</v>
      </c>
      <c r="D54" s="288"/>
      <c r="E54" s="223"/>
      <c r="F54" s="223">
        <f>C54</f>
        <v>9180</v>
      </c>
      <c r="G54" s="283">
        <f>IF(G12="","",IF((SUMIFS('Disp. Praderas y Concentrados'!$L$1:$L$6,'Disp. Praderas y Concentrados'!$K$1:$K$6,'Disp. Praderas y Concentrados'!$D$20)*G12*120)=0,"",(SUMIFS('Disp. Praderas y Concentrados'!$L$1:$L$6,'Disp. Praderas y Concentrados'!$K$1:$K$6,'Disp. Praderas y Concentrados'!$D$20)*G12*120)))</f>
        <v>3600</v>
      </c>
      <c r="H54" s="284">
        <f>IF(H12="","",IF((SUMIFS('Disp. Praderas y Concentrados'!$L$1:$L$6,'Disp. Praderas y Concentrados'!$K$1:$K$6,'Disp. Praderas y Concentrados'!$D$20)*H12*120)=0,"",(SUMIFS('Disp. Praderas y Concentrados'!$L$1:$L$6,'Disp. Praderas y Concentrados'!$K$1:$K$6,'Disp. Praderas y Concentrados'!$D$20)*H12*120)))</f>
        <v>2160</v>
      </c>
      <c r="I54" s="285">
        <f>IF(I12="","",IF((SUMIFS('Disp. Praderas y Concentrados'!$L$1:$L$6,'Disp. Praderas y Concentrados'!$K$1:$K$6,'Disp. Praderas y Concentrados'!$D$20)*I12*120)=0,"",(SUMIFS('Disp. Praderas y Concentrados'!$L$1:$L$6,'Disp. Praderas y Concentrados'!$K$1:$K$6,'Disp. Praderas y Concentrados'!$D$20)*I12*120)))</f>
        <v>5280</v>
      </c>
      <c r="J54" s="286">
        <f>IF(J12="","",IF((SUMIFS('Disp. Praderas y Concentrados'!$L$1:$L$6,'Disp. Praderas y Concentrados'!$K$1:$K$6,'Disp. Praderas y Concentrados'!$D$20)*J12*120)=0,"",(SUMIFS('Disp. Praderas y Concentrados'!$L$1:$L$6,'Disp. Praderas y Concentrados'!$K$1:$K$6,'Disp. Praderas y Concentrados'!$D$20)*J12*120)))</f>
        <v>5280</v>
      </c>
      <c r="K54" s="183"/>
      <c r="L54" s="183"/>
      <c r="M54" s="261">
        <v>1</v>
      </c>
      <c r="N54" s="261">
        <v>1</v>
      </c>
      <c r="O54" s="262" t="s">
        <v>74</v>
      </c>
      <c r="P54" s="261">
        <v>0</v>
      </c>
      <c r="Q54" s="261">
        <v>0</v>
      </c>
      <c r="R54" s="261">
        <v>0</v>
      </c>
      <c r="S54" s="261">
        <v>0</v>
      </c>
      <c r="T54" s="261">
        <v>0</v>
      </c>
      <c r="U54" s="183"/>
    </row>
    <row r="55" spans="1:21" ht="18.75" x14ac:dyDescent="0.3">
      <c r="A55" s="183"/>
      <c r="B55" s="289" t="s">
        <v>155</v>
      </c>
      <c r="C55" s="223" t="str">
        <f>IF('Disp. Praderas y Concentrados'!G21=0,"",'Disp. Praderas y Concentrados'!G21)</f>
        <v/>
      </c>
      <c r="D55" s="290"/>
      <c r="E55" s="291"/>
      <c r="F55" s="223" t="str">
        <f>C55</f>
        <v/>
      </c>
      <c r="G55" s="292" t="str">
        <f>IF(G12="","",IF((SUMIFS('Disp. Praderas y Concentrados'!$L$8:$L$15,'Disp. Praderas y Concentrados'!$K$8:$K$15,'Disp. Praderas y Concentrados'!$D$21)*G12*120)=0,"",(SUMIFS('Disp. Praderas y Concentrados'!$L$8:$L$15,'Disp. Praderas y Concentrados'!$K$8:$K$15,'Disp. Praderas y Concentrados'!$D$21)*G12*120)))</f>
        <v/>
      </c>
      <c r="H55" s="293" t="str">
        <f>IF(H12="","",IF((SUMIFS('Disp. Praderas y Concentrados'!$L$8:$L$15,'Disp. Praderas y Concentrados'!$K$8:$K$15,'Disp. Praderas y Concentrados'!$D$21)*H12*120)=0,"",(SUMIFS('Disp. Praderas y Concentrados'!$L$8:$L$15,'Disp. Praderas y Concentrados'!$K$8:$K$15,'Disp. Praderas y Concentrados'!$D$21)*H12*120)))</f>
        <v/>
      </c>
      <c r="I55" s="294" t="str">
        <f>IF(I12="","",IF((SUMIFS('Disp. Praderas y Concentrados'!$L$8:$L$15,'Disp. Praderas y Concentrados'!$K$8:$K$15,'Disp. Praderas y Concentrados'!$D$21)*I12*120)=0,"",(SUMIFS('Disp. Praderas y Concentrados'!$L$8:$L$15,'Disp. Praderas y Concentrados'!$K$8:$K$15,'Disp. Praderas y Concentrados'!$D$21)*I12*120)))</f>
        <v/>
      </c>
      <c r="J55" s="295" t="str">
        <f>IF(J12="","",IF((SUMIFS('Disp. Praderas y Concentrados'!$L$8:$L$15,'Disp. Praderas y Concentrados'!$K$8:$K$15,'Disp. Praderas y Concentrados'!$D$21)*J12*120)=0,"",(SUMIFS('Disp. Praderas y Concentrados'!$L$8:$L$15,'Disp. Praderas y Concentrados'!$K$8:$K$15,'Disp. Praderas y Concentrados'!$D$21)*J12*120)))</f>
        <v/>
      </c>
      <c r="K55" s="183"/>
      <c r="L55" s="183"/>
      <c r="M55" s="272"/>
      <c r="N55" s="261">
        <v>2</v>
      </c>
      <c r="O55" s="261" t="s">
        <v>65</v>
      </c>
      <c r="P55" s="261">
        <f>1*D12*305</f>
        <v>5185</v>
      </c>
      <c r="Q55" s="261">
        <f>+$P$55*0.25</f>
        <v>1296.25</v>
      </c>
      <c r="R55" s="261">
        <f t="shared" ref="R55:T55" si="3">+$P$55*0.25</f>
        <v>1296.25</v>
      </c>
      <c r="S55" s="261">
        <f t="shared" si="3"/>
        <v>1296.25</v>
      </c>
      <c r="T55" s="261">
        <f t="shared" si="3"/>
        <v>1296.25</v>
      </c>
      <c r="U55" s="183"/>
    </row>
    <row r="56" spans="1:21" ht="19.5" thickBot="1" x14ac:dyDescent="0.35">
      <c r="A56" s="183"/>
      <c r="B56" s="212" t="s">
        <v>156</v>
      </c>
      <c r="C56" s="296"/>
      <c r="D56" s="297">
        <f>SUM(D48:D54)</f>
        <v>17</v>
      </c>
      <c r="E56" s="296"/>
      <c r="F56" s="298" t="s">
        <v>157</v>
      </c>
      <c r="G56" s="238">
        <f>SUM(G48:G55)</f>
        <v>14296.000000000002</v>
      </c>
      <c r="H56" s="239">
        <f>SUM(H48:H55)</f>
        <v>26564</v>
      </c>
      <c r="I56" s="240">
        <f>SUM(I48:I55)</f>
        <v>42716</v>
      </c>
      <c r="J56" s="241">
        <f>SUM(J48:J55)</f>
        <v>33144</v>
      </c>
      <c r="K56" s="183"/>
      <c r="L56" s="183"/>
      <c r="M56" s="272"/>
      <c r="N56" s="261">
        <v>3</v>
      </c>
      <c r="O56" s="261" t="s">
        <v>67</v>
      </c>
      <c r="P56" s="261">
        <f>2*D12*305</f>
        <v>10370</v>
      </c>
      <c r="Q56" s="261">
        <f>+$P$56*0.25</f>
        <v>2592.5</v>
      </c>
      <c r="R56" s="261">
        <f t="shared" ref="R56:T56" si="4">+$P$56*0.25</f>
        <v>2592.5</v>
      </c>
      <c r="S56" s="261">
        <f t="shared" si="4"/>
        <v>2592.5</v>
      </c>
      <c r="T56" s="261">
        <f t="shared" si="4"/>
        <v>2592.5</v>
      </c>
      <c r="U56" s="183"/>
    </row>
    <row r="57" spans="1:21" ht="19.5" thickBot="1" x14ac:dyDescent="0.35">
      <c r="A57" s="183"/>
      <c r="B57" s="272"/>
      <c r="C57" s="272"/>
      <c r="D57" s="299"/>
      <c r="E57" s="272"/>
      <c r="F57" s="300"/>
      <c r="G57" s="301"/>
      <c r="H57" s="302" t="s">
        <v>158</v>
      </c>
      <c r="I57" s="303"/>
      <c r="J57" s="304">
        <f>SUM(G56:J56)</f>
        <v>116720</v>
      </c>
      <c r="K57" s="183"/>
      <c r="L57" s="183"/>
      <c r="M57" s="183"/>
      <c r="N57" s="287">
        <v>4</v>
      </c>
      <c r="O57" s="261" t="s">
        <v>68</v>
      </c>
      <c r="P57" s="261">
        <f>3*D12*305</f>
        <v>15555</v>
      </c>
      <c r="Q57" s="261">
        <f>+$P$57*0.25</f>
        <v>3888.75</v>
      </c>
      <c r="R57" s="261">
        <f t="shared" ref="R57:T57" si="5">+$P$57*0.25</f>
        <v>3888.75</v>
      </c>
      <c r="S57" s="261">
        <f t="shared" si="5"/>
        <v>3888.75</v>
      </c>
      <c r="T57" s="261">
        <f t="shared" si="5"/>
        <v>3888.75</v>
      </c>
      <c r="U57" s="183"/>
    </row>
    <row r="58" spans="1:21" ht="19.5" thickBot="1" x14ac:dyDescent="0.35">
      <c r="A58" s="183"/>
      <c r="B58" s="188" t="s">
        <v>159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287">
        <v>5</v>
      </c>
      <c r="O58" s="261" t="s">
        <v>69</v>
      </c>
      <c r="P58" s="261">
        <f>4*D12*305</f>
        <v>20740</v>
      </c>
      <c r="Q58" s="261">
        <f>+$P$58*0.25</f>
        <v>5185</v>
      </c>
      <c r="R58" s="261">
        <f t="shared" ref="R58:T58" si="6">+$P$58*0.25</f>
        <v>5185</v>
      </c>
      <c r="S58" s="261">
        <f t="shared" si="6"/>
        <v>5185</v>
      </c>
      <c r="T58" s="261">
        <f t="shared" si="6"/>
        <v>5185</v>
      </c>
      <c r="U58" s="183"/>
    </row>
    <row r="59" spans="1:21" ht="19.5" thickBot="1" x14ac:dyDescent="0.35">
      <c r="A59" s="183"/>
      <c r="B59" s="183"/>
      <c r="C59" s="183"/>
      <c r="D59" s="183"/>
      <c r="E59" s="305"/>
      <c r="F59" s="305"/>
      <c r="G59" s="306" t="s">
        <v>116</v>
      </c>
      <c r="H59" s="194" t="s">
        <v>148</v>
      </c>
      <c r="I59" s="195" t="s">
        <v>149</v>
      </c>
      <c r="J59" s="196" t="s">
        <v>119</v>
      </c>
      <c r="K59" s="183"/>
      <c r="L59" s="183"/>
      <c r="M59" s="183"/>
      <c r="N59" s="287">
        <v>6</v>
      </c>
      <c r="O59" s="261" t="s">
        <v>76</v>
      </c>
      <c r="P59" s="261">
        <f>5*D12*305</f>
        <v>25925</v>
      </c>
      <c r="Q59" s="261">
        <f>+$P$59*0.25</f>
        <v>6481.25</v>
      </c>
      <c r="R59" s="261">
        <f t="shared" ref="R59:T59" si="7">+$P$59*0.25</f>
        <v>6481.25</v>
      </c>
      <c r="S59" s="261">
        <f t="shared" si="7"/>
        <v>6481.25</v>
      </c>
      <c r="T59" s="261">
        <f t="shared" si="7"/>
        <v>6481.25</v>
      </c>
      <c r="U59" s="183"/>
    </row>
    <row r="60" spans="1:21" ht="18.75" x14ac:dyDescent="0.3">
      <c r="A60" s="183"/>
      <c r="B60" s="183"/>
      <c r="C60" s="183"/>
      <c r="D60" s="183"/>
      <c r="E60" s="307" t="s">
        <v>194</v>
      </c>
      <c r="F60" s="308"/>
      <c r="G60" s="309">
        <f>G42</f>
        <v>32418.75</v>
      </c>
      <c r="H60" s="310">
        <f>H42</f>
        <v>30015</v>
      </c>
      <c r="I60" s="311">
        <f>I42</f>
        <v>38879.75</v>
      </c>
      <c r="J60" s="312">
        <f>J42</f>
        <v>38106.25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</row>
    <row r="61" spans="1:21" ht="18.75" x14ac:dyDescent="0.3">
      <c r="A61" s="183"/>
      <c r="B61" s="183"/>
      <c r="C61" s="183"/>
      <c r="D61" s="183"/>
      <c r="E61" s="313" t="s">
        <v>160</v>
      </c>
      <c r="F61" s="314"/>
      <c r="G61" s="315">
        <f>G56</f>
        <v>14296.000000000002</v>
      </c>
      <c r="H61" s="316">
        <f>H56</f>
        <v>26564</v>
      </c>
      <c r="I61" s="317">
        <f>I56</f>
        <v>42716</v>
      </c>
      <c r="J61" s="318">
        <f>J56</f>
        <v>33144</v>
      </c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ht="18.75" x14ac:dyDescent="0.3">
      <c r="A62" s="183"/>
      <c r="B62" s="183"/>
      <c r="C62" s="183"/>
      <c r="D62" s="183"/>
      <c r="E62" s="319" t="s">
        <v>161</v>
      </c>
      <c r="F62" s="320" t="s">
        <v>162</v>
      </c>
      <c r="G62" s="321">
        <f>G61-G60</f>
        <v>-18122.75</v>
      </c>
      <c r="H62" s="322">
        <f>H61-H60</f>
        <v>-3451</v>
      </c>
      <c r="I62" s="323">
        <f>I61-I60</f>
        <v>3836.25</v>
      </c>
      <c r="J62" s="324">
        <f>J61-J60</f>
        <v>-4962.25</v>
      </c>
      <c r="K62" s="183"/>
      <c r="L62" s="183"/>
      <c r="M62" s="183"/>
      <c r="N62" s="183"/>
      <c r="O62" s="183"/>
      <c r="P62" s="325"/>
      <c r="Q62" s="183"/>
      <c r="R62" s="183"/>
      <c r="S62" s="183"/>
      <c r="T62" s="183"/>
      <c r="U62" s="183"/>
    </row>
    <row r="63" spans="1:21" ht="18.75" hidden="1" x14ac:dyDescent="0.3">
      <c r="A63" s="183"/>
      <c r="B63" s="183"/>
      <c r="C63" s="183"/>
      <c r="D63" s="183"/>
      <c r="E63" s="289" t="s">
        <v>163</v>
      </c>
      <c r="F63" s="320"/>
      <c r="G63" s="321">
        <f>(SUMIF(G62,"&lt;0"))</f>
        <v>-18122.75</v>
      </c>
      <c r="H63" s="322">
        <f t="shared" ref="H63:J63" si="8">(SUMIF(H62,"&lt;0"))</f>
        <v>-3451</v>
      </c>
      <c r="I63" s="323">
        <f t="shared" si="8"/>
        <v>0</v>
      </c>
      <c r="J63" s="324">
        <f t="shared" si="8"/>
        <v>-4962.25</v>
      </c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</row>
    <row r="64" spans="1:21" ht="18.75" hidden="1" x14ac:dyDescent="0.3">
      <c r="A64" s="183"/>
      <c r="B64" s="183"/>
      <c r="C64" s="183"/>
      <c r="D64" s="183"/>
      <c r="E64" s="289" t="s">
        <v>164</v>
      </c>
      <c r="F64" s="320"/>
      <c r="G64" s="321">
        <f>(SUMIF(G62,"&gt;0"))</f>
        <v>0</v>
      </c>
      <c r="H64" s="322">
        <f t="shared" ref="H64:J64" si="9">(SUMIF(H62,"&gt;0"))</f>
        <v>0</v>
      </c>
      <c r="I64" s="323">
        <f t="shared" si="9"/>
        <v>3836.25</v>
      </c>
      <c r="J64" s="324">
        <f t="shared" si="9"/>
        <v>0</v>
      </c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</row>
    <row r="65" spans="1:21" ht="18.75" hidden="1" x14ac:dyDescent="0.3">
      <c r="A65" s="183"/>
      <c r="B65" s="183"/>
      <c r="C65" s="183"/>
      <c r="D65" s="183"/>
      <c r="E65" s="289"/>
      <c r="F65" s="320"/>
      <c r="G65" s="321">
        <f>+I64+G63</f>
        <v>-14286.5</v>
      </c>
      <c r="H65" s="322">
        <f>+I64+G63+H63</f>
        <v>-17737.5</v>
      </c>
      <c r="I65" s="323"/>
      <c r="J65" s="324">
        <f>+I64+G63+H63+J63</f>
        <v>-22699.75</v>
      </c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</row>
    <row r="66" spans="1:21" ht="18.75" x14ac:dyDescent="0.3">
      <c r="A66" s="183"/>
      <c r="B66" s="183"/>
      <c r="C66" s="183"/>
      <c r="D66" s="183"/>
      <c r="E66" s="205" t="s">
        <v>165</v>
      </c>
      <c r="F66" s="263"/>
      <c r="G66" s="315">
        <f>+I64-(SUMIF(G65,"&gt;0"))</f>
        <v>3836.25</v>
      </c>
      <c r="H66" s="316">
        <f>+SUMIF(G65,"&gt;0")-(SUMIF(H65,"&gt;0"))</f>
        <v>0</v>
      </c>
      <c r="I66" s="317"/>
      <c r="J66" s="318">
        <f>+SUMIF(H65,"&gt;0")-(SUMIF(J65,"&gt;0"))</f>
        <v>0</v>
      </c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</row>
    <row r="67" spans="1:21" ht="18.75" x14ac:dyDescent="0.3">
      <c r="A67" s="183"/>
      <c r="B67" s="183"/>
      <c r="C67" s="183"/>
      <c r="D67" s="183"/>
      <c r="E67" s="205" t="s">
        <v>166</v>
      </c>
      <c r="F67" s="263"/>
      <c r="G67" s="315">
        <f>SUMIF(G62,"&lt;0")+G66</f>
        <v>-14286.5</v>
      </c>
      <c r="H67" s="316">
        <f>SUMIF(H62,"&lt;0")+H66</f>
        <v>-3451</v>
      </c>
      <c r="I67" s="317">
        <f>SUMIF(I63,"&lt;0")</f>
        <v>0</v>
      </c>
      <c r="J67" s="318">
        <f>SUMIF(J62,"&lt;0")+J66</f>
        <v>-4962.25</v>
      </c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</row>
    <row r="68" spans="1:21" ht="19.5" thickBot="1" x14ac:dyDescent="0.35">
      <c r="A68" s="183"/>
      <c r="B68" s="183"/>
      <c r="C68" s="183"/>
      <c r="D68" s="183"/>
      <c r="E68" s="326" t="s">
        <v>167</v>
      </c>
      <c r="F68" s="327"/>
      <c r="G68" s="328">
        <f>ABS(G67/20)</f>
        <v>714.32500000000005</v>
      </c>
      <c r="H68" s="329">
        <f>ABS(H67/20)</f>
        <v>172.55</v>
      </c>
      <c r="I68" s="330">
        <f>ABS(I67/20)</f>
        <v>0</v>
      </c>
      <c r="J68" s="331">
        <f>ABS(J67/20)</f>
        <v>248.11250000000001</v>
      </c>
      <c r="K68" s="220"/>
      <c r="L68" s="183"/>
      <c r="M68" s="183"/>
      <c r="N68" s="183"/>
      <c r="O68" s="183"/>
      <c r="P68" s="183"/>
      <c r="Q68" s="183"/>
      <c r="R68" s="183"/>
      <c r="S68" s="183"/>
      <c r="T68" s="183"/>
      <c r="U68" s="183"/>
    </row>
    <row r="69" spans="1:21" ht="19.5" thickBot="1" x14ac:dyDescent="0.35">
      <c r="A69" s="243"/>
      <c r="B69" s="243"/>
      <c r="C69" s="244"/>
      <c r="D69" s="244"/>
      <c r="E69" s="332"/>
      <c r="F69" s="332"/>
      <c r="G69" s="332"/>
      <c r="H69" s="332"/>
      <c r="I69" s="333" t="s">
        <v>168</v>
      </c>
      <c r="J69" s="334">
        <f>+G62+H62+I62+J62</f>
        <v>-22699.75</v>
      </c>
      <c r="K69" s="251"/>
      <c r="L69" s="243"/>
      <c r="M69" s="243"/>
      <c r="N69" s="243"/>
      <c r="O69" s="243"/>
      <c r="P69" s="243"/>
      <c r="Q69" s="243"/>
      <c r="R69" s="243"/>
      <c r="S69" s="243"/>
      <c r="T69" s="243"/>
      <c r="U69" s="243"/>
    </row>
    <row r="70" spans="1:21" ht="19.5" thickBot="1" x14ac:dyDescent="0.35">
      <c r="A70" s="243"/>
      <c r="B70" s="243"/>
      <c r="C70" s="244"/>
      <c r="D70" s="244"/>
      <c r="E70" s="335" t="s">
        <v>199</v>
      </c>
      <c r="F70" s="336"/>
      <c r="G70" s="332"/>
      <c r="H70" s="332"/>
      <c r="I70" s="337"/>
      <c r="J70" s="337"/>
      <c r="K70" s="251"/>
      <c r="L70" s="243"/>
      <c r="M70" s="243"/>
      <c r="N70" s="243"/>
      <c r="O70" s="243"/>
      <c r="P70" s="243"/>
      <c r="Q70" s="243"/>
      <c r="R70" s="243"/>
      <c r="S70" s="243"/>
      <c r="T70" s="243"/>
      <c r="U70" s="243"/>
    </row>
    <row r="71" spans="1:21" ht="18.75" customHeight="1" x14ac:dyDescent="0.3">
      <c r="A71" s="243"/>
      <c r="B71" s="243"/>
      <c r="C71" s="244"/>
      <c r="D71" s="244"/>
      <c r="E71" s="338" t="s">
        <v>200</v>
      </c>
      <c r="F71" s="368">
        <v>60</v>
      </c>
      <c r="G71" s="339" t="str">
        <f>IF(SUM(F71:F72)&lt;&gt;100,"La suma debe completar el 100%","")</f>
        <v/>
      </c>
      <c r="H71" s="340" t="s">
        <v>169</v>
      </c>
      <c r="I71" s="341"/>
      <c r="J71" s="342">
        <f>SUMIF(I62,"&gt;0")</f>
        <v>3836.25</v>
      </c>
      <c r="K71" s="251"/>
      <c r="L71" s="243"/>
      <c r="M71" s="243"/>
      <c r="N71" s="243"/>
      <c r="O71" s="243"/>
      <c r="P71" s="243"/>
      <c r="Q71" s="243"/>
      <c r="R71" s="243"/>
      <c r="S71" s="243"/>
      <c r="T71" s="243"/>
      <c r="U71" s="243"/>
    </row>
    <row r="72" spans="1:21" ht="19.5" thickBot="1" x14ac:dyDescent="0.35">
      <c r="A72" s="243"/>
      <c r="B72" s="243"/>
      <c r="C72" s="244"/>
      <c r="D72" s="244"/>
      <c r="E72" s="343" t="s">
        <v>177</v>
      </c>
      <c r="F72" s="369">
        <v>40</v>
      </c>
      <c r="G72" s="339"/>
      <c r="H72" s="344" t="s">
        <v>170</v>
      </c>
      <c r="I72" s="345"/>
      <c r="J72" s="346">
        <f>J71/4000</f>
        <v>0.95906250000000004</v>
      </c>
      <c r="K72" s="251"/>
      <c r="L72" s="243"/>
      <c r="M72" s="243"/>
      <c r="N72" s="243"/>
      <c r="O72" s="243"/>
      <c r="P72" s="243"/>
      <c r="Q72" s="243"/>
      <c r="R72" s="243"/>
      <c r="S72" s="243"/>
      <c r="T72" s="243"/>
      <c r="U72" s="243"/>
    </row>
    <row r="73" spans="1:21" ht="18.75" x14ac:dyDescent="0.3">
      <c r="A73" s="243"/>
      <c r="B73" s="243"/>
      <c r="C73" s="244"/>
      <c r="D73" s="244"/>
      <c r="E73" s="332"/>
      <c r="F73" s="332"/>
      <c r="G73" s="339"/>
      <c r="H73" s="243"/>
      <c r="I73" s="347"/>
      <c r="J73" s="243"/>
      <c r="K73" s="251"/>
      <c r="L73" s="243"/>
      <c r="M73" s="243"/>
      <c r="N73" s="243"/>
      <c r="O73" s="243"/>
      <c r="P73" s="243"/>
      <c r="Q73" s="243"/>
      <c r="R73" s="243"/>
      <c r="S73" s="243"/>
      <c r="T73" s="243"/>
      <c r="U73" s="243"/>
    </row>
    <row r="74" spans="1:21" ht="18.75" x14ac:dyDescent="0.3">
      <c r="A74" s="183"/>
      <c r="B74" s="183"/>
      <c r="C74" s="183"/>
      <c r="D74" s="183"/>
      <c r="E74" s="188" t="s">
        <v>171</v>
      </c>
      <c r="F74" s="348" t="s">
        <v>172</v>
      </c>
      <c r="G74" s="183"/>
      <c r="H74" s="183"/>
      <c r="I74" s="183"/>
      <c r="J74" s="220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</row>
    <row r="75" spans="1:21" ht="18.75" x14ac:dyDescent="0.3">
      <c r="A75" s="183"/>
      <c r="B75" s="183"/>
      <c r="C75" s="183"/>
      <c r="D75" s="183"/>
      <c r="E75" s="349" t="s">
        <v>173</v>
      </c>
      <c r="F75" s="350">
        <f>J72*(F71/100)</f>
        <v>0.57543750000000005</v>
      </c>
      <c r="G75" s="351" t="str">
        <f>"Has ("&amp;F71&amp;"%)"</f>
        <v>Has (60%)</v>
      </c>
      <c r="H75" s="352">
        <f>(F75*4000)/450</f>
        <v>5.1150000000000002</v>
      </c>
      <c r="I75" s="351" t="s">
        <v>174</v>
      </c>
      <c r="J75" s="352" t="str">
        <f>IFERROR((F75*4000)/'Compra de Forrajes'!D16,"")</f>
        <v/>
      </c>
      <c r="K75" s="353" t="s">
        <v>175</v>
      </c>
      <c r="L75" s="220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ht="18.75" x14ac:dyDescent="0.3">
      <c r="A76" s="183"/>
      <c r="B76" s="183"/>
      <c r="C76" s="183"/>
      <c r="D76" s="183"/>
      <c r="E76" s="354" t="s">
        <v>176</v>
      </c>
      <c r="F76" s="355"/>
      <c r="G76" s="355"/>
      <c r="H76" s="355"/>
      <c r="I76" s="355"/>
      <c r="J76" s="356">
        <f>'Compra de Forrajes'!L14</f>
        <v>44.504999999999995</v>
      </c>
      <c r="K76" s="357" t="s">
        <v>175</v>
      </c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ht="18.75" x14ac:dyDescent="0.3">
      <c r="A77" s="183"/>
      <c r="B77" s="183"/>
      <c r="C77" s="183"/>
      <c r="D77" s="183"/>
      <c r="E77" s="348"/>
      <c r="F77" s="348" t="s">
        <v>177</v>
      </c>
      <c r="G77" s="183"/>
      <c r="H77" s="183"/>
      <c r="I77" s="183"/>
      <c r="J77" s="358">
        <f>SUM(J75:J76)</f>
        <v>44.504999999999995</v>
      </c>
      <c r="K77" s="359" t="s">
        <v>175</v>
      </c>
      <c r="M77" s="360">
        <f>(J77*SUMIFS('Compra de Forrajes'!$J$14:$J$16,'Compra de Forrajes'!$I$14:$I$16,'Compra de Forrajes'!$D$17))/4000</f>
        <v>1.5298593749999998</v>
      </c>
      <c r="N77" s="183"/>
      <c r="O77" s="183"/>
      <c r="P77" s="183"/>
      <c r="Q77" s="183"/>
      <c r="R77" s="183"/>
      <c r="S77" s="183"/>
      <c r="T77" s="183"/>
      <c r="U77" s="183"/>
    </row>
    <row r="78" spans="1:21" ht="18.75" x14ac:dyDescent="0.3">
      <c r="A78" s="183"/>
      <c r="B78" s="188" t="s">
        <v>178</v>
      </c>
      <c r="C78" s="183"/>
      <c r="D78" s="183"/>
      <c r="E78" s="361" t="s">
        <v>179</v>
      </c>
      <c r="F78" s="350">
        <f>J72*(F72/100)</f>
        <v>0.38362500000000005</v>
      </c>
      <c r="G78" s="351" t="str">
        <f>"Has ("&amp;F72&amp;"%)"</f>
        <v>Has (40%)</v>
      </c>
      <c r="H78" s="351"/>
      <c r="I78" s="351"/>
      <c r="J78" s="352" t="str">
        <f>IFERROR((J71-(H75*450))/'Compra de Forrajes'!D17,"")</f>
        <v/>
      </c>
      <c r="K78" s="362" t="s">
        <v>180</v>
      </c>
      <c r="M78" s="183"/>
      <c r="N78" s="183"/>
      <c r="O78" s="183"/>
      <c r="P78" s="183"/>
      <c r="Q78" s="183"/>
      <c r="R78" s="183"/>
      <c r="S78" s="183"/>
      <c r="T78" s="183"/>
      <c r="U78" s="183"/>
    </row>
    <row r="79" spans="1:21" ht="18.75" x14ac:dyDescent="0.3">
      <c r="A79" s="183"/>
      <c r="B79" s="363" t="s">
        <v>181</v>
      </c>
      <c r="C79" s="183"/>
      <c r="D79" s="183"/>
      <c r="E79" s="354" t="s">
        <v>182</v>
      </c>
      <c r="F79" s="355"/>
      <c r="G79" s="355"/>
      <c r="H79" s="355"/>
      <c r="I79" s="355"/>
      <c r="J79" s="356">
        <f>'Compra de Forrajes'!L15</f>
        <v>1535.8588235294119</v>
      </c>
      <c r="K79" s="357" t="s">
        <v>180</v>
      </c>
      <c r="M79" s="183"/>
      <c r="N79" s="183"/>
      <c r="O79" s="183"/>
      <c r="P79" s="183"/>
      <c r="Q79" s="183"/>
      <c r="R79" s="183"/>
      <c r="S79" s="183"/>
      <c r="T79" s="183"/>
      <c r="U79" s="183"/>
    </row>
    <row r="80" spans="1:21" ht="18.75" x14ac:dyDescent="0.3">
      <c r="A80" s="183"/>
      <c r="B80" s="363" t="s">
        <v>183</v>
      </c>
      <c r="C80" s="183"/>
      <c r="D80" s="183"/>
      <c r="E80" s="183"/>
      <c r="F80" s="183"/>
      <c r="G80" s="183"/>
      <c r="H80" s="183"/>
      <c r="I80" s="183"/>
      <c r="J80" s="358">
        <f>SUM(J78:J79)</f>
        <v>1535.8588235294119</v>
      </c>
      <c r="K80" s="359" t="s">
        <v>180</v>
      </c>
      <c r="M80" s="364">
        <f>+J80*'Compra de Forrajes'!L19/4000</f>
        <v>8.1592500000000001</v>
      </c>
      <c r="N80" s="183"/>
      <c r="O80" s="183"/>
      <c r="P80" s="183"/>
      <c r="Q80" s="183"/>
      <c r="R80" s="183"/>
      <c r="S80" s="183"/>
      <c r="T80" s="183"/>
      <c r="U80" s="183"/>
    </row>
    <row r="81" spans="1:21" ht="18.75" x14ac:dyDescent="0.3">
      <c r="A81" s="183"/>
      <c r="B81" s="363" t="s">
        <v>184</v>
      </c>
      <c r="C81" s="183"/>
      <c r="D81" s="183"/>
      <c r="E81" s="183"/>
      <c r="F81" s="183" t="s">
        <v>185</v>
      </c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</row>
    <row r="82" spans="1:21" ht="18.75" x14ac:dyDescent="0.3">
      <c r="A82" s="183"/>
      <c r="B82" s="363" t="s">
        <v>186</v>
      </c>
      <c r="C82" s="183"/>
      <c r="D82" s="183"/>
      <c r="E82" s="320" t="s">
        <v>187</v>
      </c>
      <c r="F82" s="351"/>
      <c r="G82" s="351"/>
      <c r="H82" s="351"/>
      <c r="I82" s="351"/>
      <c r="J82" s="352">
        <f>'Disp. Praderas y Concentrados'!G20/50+'Compra de Forrajes'!L16</f>
        <v>220.31662499999999</v>
      </c>
      <c r="K82" s="353" t="s">
        <v>188</v>
      </c>
      <c r="L82" s="183"/>
      <c r="M82" s="183"/>
      <c r="N82" s="183"/>
      <c r="O82" s="183"/>
      <c r="P82" s="183"/>
      <c r="Q82" s="183"/>
      <c r="R82" s="183"/>
      <c r="S82" s="183"/>
      <c r="T82" s="183"/>
      <c r="U82" s="183"/>
    </row>
    <row r="83" spans="1:21" ht="18.75" x14ac:dyDescent="0.3">
      <c r="A83" s="183"/>
      <c r="B83" s="183"/>
      <c r="C83" s="183"/>
      <c r="D83" s="183"/>
      <c r="E83" s="354" t="s">
        <v>189</v>
      </c>
      <c r="F83" s="355"/>
      <c r="G83" s="355"/>
      <c r="H83" s="355"/>
      <c r="I83" s="355"/>
      <c r="J83" s="356" t="e">
        <f>('Disp. Praderas y Concentrados'!G21/50)+('Compra de Forrajes'!L17)</f>
        <v>#VALUE!</v>
      </c>
      <c r="K83" s="357" t="s">
        <v>188</v>
      </c>
      <c r="L83" s="183"/>
      <c r="M83" s="183"/>
      <c r="N83" s="183"/>
      <c r="O83" s="183"/>
      <c r="P83" s="183"/>
      <c r="Q83" s="183"/>
      <c r="R83" s="183"/>
      <c r="S83" s="183"/>
      <c r="T83" s="183"/>
      <c r="U83" s="183"/>
    </row>
    <row r="84" spans="1:21" ht="18.75" x14ac:dyDescent="0.3">
      <c r="A84" s="183"/>
      <c r="B84" s="183"/>
      <c r="C84" s="183"/>
      <c r="D84" s="183"/>
      <c r="E84" s="183"/>
      <c r="F84" s="183"/>
      <c r="G84" s="183"/>
      <c r="H84" s="183"/>
      <c r="I84" s="183"/>
      <c r="J84" s="358" t="e">
        <f>SUM(J82:J83)</f>
        <v>#VALUE!</v>
      </c>
      <c r="K84" s="359" t="s">
        <v>188</v>
      </c>
      <c r="L84" s="183"/>
      <c r="M84" s="183"/>
      <c r="N84" s="183"/>
      <c r="O84" s="183"/>
      <c r="P84" s="183"/>
      <c r="Q84" s="183"/>
      <c r="R84" s="183"/>
      <c r="S84" s="183"/>
      <c r="T84" s="183"/>
      <c r="U84" s="183"/>
    </row>
    <row r="85" spans="1:21" ht="18.75" x14ac:dyDescent="0.3">
      <c r="A85" s="183"/>
      <c r="B85" s="183"/>
      <c r="C85" s="183"/>
      <c r="D85" s="183"/>
      <c r="E85" s="365" t="s">
        <v>190</v>
      </c>
      <c r="F85" s="365">
        <f>SUM(F12:F20)</f>
        <v>30.54</v>
      </c>
      <c r="G85" s="231" t="s">
        <v>191</v>
      </c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</row>
    <row r="86" spans="1:21" ht="18.75" x14ac:dyDescent="0.3">
      <c r="A86" s="183"/>
      <c r="B86" s="183"/>
      <c r="C86" s="183"/>
      <c r="D86" s="183"/>
      <c r="E86" s="365" t="s">
        <v>192</v>
      </c>
      <c r="F86" s="366">
        <f>+F85/D56</f>
        <v>1.796470588235294</v>
      </c>
      <c r="G86" s="231" t="s">
        <v>193</v>
      </c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</row>
    <row r="87" spans="1:21" ht="18.75" x14ac:dyDescent="0.3">
      <c r="A87" s="183"/>
      <c r="B87" s="183"/>
      <c r="C87" s="188"/>
      <c r="D87" s="183"/>
      <c r="E87" s="367" t="str">
        <f>"Rezago Necesario = "&amp;TEXT(M77+M80,"###.###,#")&amp;" Has"</f>
        <v>Rezago Necesario = 9,7 Has</v>
      </c>
      <c r="F87" s="367"/>
      <c r="G87" s="367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</row>
    <row r="88" spans="1:21" x14ac:dyDescent="0.25"/>
  </sheetData>
  <sheetProtection password="A04D" sheet="1" objects="1" scenarios="1"/>
  <mergeCells count="28">
    <mergeCell ref="H22:H23"/>
    <mergeCell ref="I22:I23"/>
    <mergeCell ref="J22:J23"/>
    <mergeCell ref="E87:G87"/>
    <mergeCell ref="C22:C23"/>
    <mergeCell ref="D22:D23"/>
    <mergeCell ref="E22:E23"/>
    <mergeCell ref="F22:F23"/>
    <mergeCell ref="G22:G23"/>
    <mergeCell ref="I46:I47"/>
    <mergeCell ref="J46:J47"/>
    <mergeCell ref="E70:F70"/>
    <mergeCell ref="G71:G73"/>
    <mergeCell ref="H72:I72"/>
    <mergeCell ref="B3:I3"/>
    <mergeCell ref="B4:I4"/>
    <mergeCell ref="C6:F6"/>
    <mergeCell ref="C7:F7"/>
    <mergeCell ref="E59:F59"/>
    <mergeCell ref="H6:I6"/>
    <mergeCell ref="H7:I7"/>
    <mergeCell ref="B46:B47"/>
    <mergeCell ref="C46:C47"/>
    <mergeCell ref="D46:D47"/>
    <mergeCell ref="E46:E47"/>
    <mergeCell ref="F46:F47"/>
    <mergeCell ref="G46:G47"/>
    <mergeCell ref="H46:H47"/>
  </mergeCells>
  <pageMargins left="0.7" right="0.7" top="0.75" bottom="0.75" header="0.3" footer="0.3"/>
  <pageSetup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Calculadora U.A.</vt:lpstr>
      <vt:lpstr>Consumo M.S.</vt:lpstr>
      <vt:lpstr>NABOS</vt:lpstr>
      <vt:lpstr>COLES</vt:lpstr>
      <vt:lpstr>Disp. Praderas y Concentrados</vt:lpstr>
      <vt:lpstr>Compra de Forrajes</vt:lpstr>
      <vt:lpstr>Balance 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Molina Assor</dc:creator>
  <cp:lastModifiedBy>Patricio Molina Assor</cp:lastModifiedBy>
  <cp:lastPrinted>2016-11-28T15:38:49Z</cp:lastPrinted>
  <dcterms:created xsi:type="dcterms:W3CDTF">2016-11-28T12:02:11Z</dcterms:created>
  <dcterms:modified xsi:type="dcterms:W3CDTF">2016-12-01T15:57:47Z</dcterms:modified>
</cp:coreProperties>
</file>